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88" yWindow="348" windowWidth="22692" windowHeight="9792" tabRatio="759" firstSheet="1" activeTab="3"/>
  </bookViews>
  <sheets>
    <sheet name="Titulní list" sheetId="4" r:id="rId1"/>
    <sheet name="Krycí list" sheetId="1" r:id="rId2"/>
    <sheet name="Rekapitulace" sheetId="2" r:id="rId3"/>
    <sheet name="Položky I. etp. - zámek, hl. a" sheetId="13" r:id="rId4"/>
    <sheet name="Péče po dobu tří let" sheetId="14" r:id="rId5"/>
  </sheets>
  <externalReferences>
    <externalReference r:id="rId8"/>
  </externalReferences>
  <definedNames>
    <definedName name="cisloobjektu">'Krycí list'!$A$5</definedName>
    <definedName name="Cislostavby" localSheetId="0">'[1]STAVBA CELKEM'!$C$6</definedName>
    <definedName name="cislostavby">'Krycí list'!$A$7</definedName>
    <definedName name="Datum">'Krycí list'!$B$27</definedName>
    <definedName name="Dil">'Rekapitulace'!$A$6</definedName>
    <definedName name="Do">#REF!</definedName>
    <definedName name="Dodavka">'Rekapitulace'!$G$13</definedName>
    <definedName name="Dodavka0">#REF!</definedName>
    <definedName name="HSV">'Rekapitulace'!$E$13</definedName>
    <definedName name="HSV0">#REF!</definedName>
    <definedName name="HZS">'Rekapitulace'!$I$13</definedName>
    <definedName name="HZS0">#REF!</definedName>
    <definedName name="JKSO">'Krycí list'!$G$2</definedName>
    <definedName name="MJ">'Krycí list'!$G$5</definedName>
    <definedName name="Mont">'Rekapitulace'!$H$13</definedName>
    <definedName name="Montaz0">#REF!</definedName>
    <definedName name="NazevDilu">'Rekapitulace'!$B$6</definedName>
    <definedName name="nazevobjektu">'Krycí list'!$C$5</definedName>
    <definedName name="Nazevstavby" localSheetId="0">'[1]STAVBA CELKEM'!$E$6</definedName>
    <definedName name="nazevstavby">'Krycí list'!$C$7</definedName>
    <definedName name="Objednatel">'Krycí list'!$C$10</definedName>
    <definedName name="_xlnm.Print_Area" localSheetId="1">'Krycí list'!$A$1:$G$36</definedName>
    <definedName name="_xlnm.Print_Area" localSheetId="2">'Rekapitulace'!$A$1:$I$19</definedName>
    <definedName name="_xlnm.Print_Area" localSheetId="0">'Titulní list'!$A$1:$T$49</definedName>
    <definedName name="Od">#REF!</definedName>
    <definedName name="paeonia">'Položky I. etp. - zámek, hl. a'!$B$550</definedName>
    <definedName name="PocetMJ">'Krycí list'!$G$6</definedName>
    <definedName name="Poznamka">#REF!</definedName>
    <definedName name="Projektant">'Krycí list'!$C$8</definedName>
    <definedName name="PSV">'Rekapitulace'!$F$13</definedName>
    <definedName name="PSV0">#REF!</definedName>
    <definedName name="SazbaDPH1" localSheetId="0">'[1]STAVBA CELKEM'!$C$25</definedName>
    <definedName name="SazbaDPH1">'Krycí list'!$C$30</definedName>
    <definedName name="SazbaDPH2" localSheetId="0">'[1]STAVBA CELKEM'!$C$27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 localSheetId="0">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2">'Rekapitulace'!$1:$6</definedName>
  </definedNames>
  <calcPr calcId="145621"/>
</workbook>
</file>

<file path=xl/sharedStrings.xml><?xml version="1.0" encoding="utf-8"?>
<sst xmlns="http://schemas.openxmlformats.org/spreadsheetml/2006/main" count="1997" uniqueCount="482">
  <si>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</si>
  <si>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</si>
  <si>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</si>
  <si>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</si>
  <si>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</si>
  <si>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</si>
  <si>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</si>
  <si>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</si>
  <si>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</si>
  <si>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</si>
  <si>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</si>
  <si>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</si>
  <si>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</si>
  <si>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</si>
  <si>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</si>
  <si>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</si>
  <si>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</si>
  <si>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</si>
  <si>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</si>
  <si>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</si>
  <si>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</si>
  <si>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</si>
  <si>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</si>
  <si>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</si>
  <si>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</si>
  <si>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</si>
  <si>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</si>
  <si>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</si>
  <si>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</si>
  <si>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</si>
  <si>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</si>
  <si>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</si>
  <si>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</si>
  <si>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</si>
  <si>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</si>
  <si>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</si>
  <si>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</si>
  <si>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</si>
  <si>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</si>
  <si>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</si>
  <si>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</si>
  <si>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</si>
  <si>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</si>
  <si>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</si>
  <si>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</si>
  <si>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</si>
  <si>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</si>
  <si>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</si>
  <si>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</si>
  <si>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</si>
  <si>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</si>
  <si>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</si>
  <si>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</si>
  <si>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</si>
  <si>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</si>
  <si>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</si>
  <si>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</si>
  <si>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</si>
  <si>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</si>
  <si>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</si>
  <si>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</si>
  <si>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</si>
  <si>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</si>
  <si>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</si>
  <si>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</si>
  <si>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</si>
  <si>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</si>
  <si>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</si>
  <si>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</si>
  <si>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</si>
  <si>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</si>
  <si>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</si>
  <si>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</si>
  <si>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Celkem za</t>
  </si>
  <si>
    <t>823.27</t>
  </si>
  <si>
    <t>m2</t>
  </si>
  <si>
    <t>m3</t>
  </si>
  <si>
    <t>t</t>
  </si>
  <si>
    <t>kg</t>
  </si>
  <si>
    <t>R-položka</t>
  </si>
  <si>
    <t>MHMP</t>
  </si>
  <si>
    <t>K O N T R O L N Í     R O Z P O Č E T</t>
  </si>
  <si>
    <t>odpad</t>
  </si>
  <si>
    <t>111 15-1421</t>
  </si>
  <si>
    <t xml:space="preserve">Odstranění  stařiny  z cca 50% plochy, přes 100-500m2 v rovině </t>
  </si>
  <si>
    <t>poznámka</t>
  </si>
  <si>
    <t>materiál</t>
  </si>
  <si>
    <t>167 10-1101</t>
  </si>
  <si>
    <t>Nakládání sypaniny</t>
  </si>
  <si>
    <t>167 10-1103</t>
  </si>
  <si>
    <t>Skládání sypaniny</t>
  </si>
  <si>
    <t>183 40 -3114</t>
  </si>
  <si>
    <t>184 40 -3153</t>
  </si>
  <si>
    <t>183 11-1112</t>
  </si>
  <si>
    <t>Hloubení jamek do 0,005m3 bez výměny půdy, v rovině</t>
  </si>
  <si>
    <t>185 80 -2114</t>
  </si>
  <si>
    <t>181 41-1141</t>
  </si>
  <si>
    <t>183 40-3327</t>
  </si>
  <si>
    <t>185 80 - 4311</t>
  </si>
  <si>
    <t>Zalití rostlin vodou po výsadbě, výsevu, plochy jednotlivě 20l/m2, ve dvou dávkách</t>
  </si>
  <si>
    <t>998 23-1311</t>
  </si>
  <si>
    <t>Přesun hmot pro sadovnické a krajinářské úpravy vodorovně do 5000 m</t>
  </si>
  <si>
    <t>Poznámky:</t>
  </si>
  <si>
    <t>Štěrk 4/8 (hmotnost sypaného kameniva 1,5t/m3), ztratné 5%</t>
  </si>
  <si>
    <t>t/jedn.</t>
  </si>
  <si>
    <t>bm</t>
  </si>
  <si>
    <t>l</t>
  </si>
  <si>
    <t>Kácení a odstraňování dřevin</t>
  </si>
  <si>
    <t>112 15-1111</t>
  </si>
  <si>
    <t>Pěstební opatření</t>
  </si>
  <si>
    <t>111 21-2211</t>
  </si>
  <si>
    <t>Odstranění nevhodných dřevin o průměru kmene do  100 mm, v do 1m, s odstraněním pařezu do 100m2v rovině nebo na svahu 1:5</t>
  </si>
  <si>
    <t>184 85-2413</t>
  </si>
  <si>
    <t>184 80-6171</t>
  </si>
  <si>
    <t>Amelanchier lamarckii</t>
  </si>
  <si>
    <t>HTÚ / JTÚ</t>
  </si>
  <si>
    <t>Odstranění organických zbytků</t>
  </si>
  <si>
    <t>Rozrušení půdy v rovině do 500m2na hl. přes 50 do 150 mm v rovině, s ohledem na kořenový prostor stromů</t>
  </si>
  <si>
    <t>183 40-2121</t>
  </si>
  <si>
    <t>Herbicid totální  (např Roundup)</t>
  </si>
  <si>
    <t>184 10-2111</t>
  </si>
  <si>
    <t>184 91-1421</t>
  </si>
  <si>
    <t>Výsadba dřevin s balem do předem vyhloubené jamky v rovině při průměru balu 100-200mmm</t>
  </si>
  <si>
    <t>Štěrk 4/8 (hmotnost sypaného kameniva 1,5t/m3), ztratné 5%, vrstva 4,5cm</t>
  </si>
  <si>
    <t>Hnojení umělým hnojivem s rozdělením k jednotlivým rostlinám v rovině</t>
  </si>
  <si>
    <t>Obdělání půdy kultivátorováním v rovině, 2x (zapravení kameniva), v rovině</t>
  </si>
  <si>
    <t>Obdělání půdy hrabáním v rovině, 2x</t>
  </si>
  <si>
    <t>Renovace výsadeb ČHMU Komořany</t>
  </si>
  <si>
    <t>ČHMÚ v Praze - Komořanech</t>
  </si>
  <si>
    <t>Ceny a dostupnost rostlin je nutné včas prověřit.</t>
  </si>
  <si>
    <t>Použité ceníky: URS, HSV 2017 800-1 Zemní práce, HSV 2017 823 -1 Plochy a úprava území, 823 - 2 Rekultivace</t>
  </si>
  <si>
    <t xml:space="preserve">Doplnění substrátu  dle specifikace včetně dopravy </t>
  </si>
  <si>
    <t>Výsadba rostlin dle jednotlivých záhonů</t>
  </si>
  <si>
    <t>5</t>
  </si>
  <si>
    <t>HTÚ záhony</t>
  </si>
  <si>
    <t>112 21-1213</t>
  </si>
  <si>
    <t>Odstranění pařezu ručně, v rovině o průměru kmene přes 300 do 400mm</t>
  </si>
  <si>
    <t>m2,ks</t>
  </si>
  <si>
    <t>184 80-2111</t>
  </si>
  <si>
    <t>182 30-1102</t>
  </si>
  <si>
    <t>Hloubení jamek do 0,002m3 bez výměny půdy, v rovině</t>
  </si>
  <si>
    <t>Úprava terénu HTÚ</t>
  </si>
  <si>
    <t>Substrát Stauden substrat Gramoflor Supergrob 70/30 90 Ton, ztratné 5 %</t>
  </si>
  <si>
    <t>Jemná kůra 8-15mm, ztratné 5%, vrstva  5cm</t>
  </si>
  <si>
    <t>Substrát Stauden substrat Gramoflor Supergrob 70/30 90 TON, ztratné 5% , vrstva 4,5cm</t>
  </si>
  <si>
    <t>Vytyčení záhonu a rostlin</t>
  </si>
  <si>
    <t xml:space="preserve">Roxory 800 x 12 mm </t>
  </si>
  <si>
    <t>Mulčování vysazených rostlin do 100mm, v rovině, vrstva 5cm</t>
  </si>
  <si>
    <t>Odvoz a likvidace odpadu, skládkovné</t>
  </si>
  <si>
    <t xml:space="preserve">Odvoz a likvidace odpadu, skládkovné -keře  </t>
  </si>
  <si>
    <t>Plocha celkem</t>
  </si>
  <si>
    <t>Vyznačení míst určených ke zpracování půdy</t>
  </si>
  <si>
    <t>Voda pro zálivku je předpokládána ze zdroje investora.</t>
  </si>
  <si>
    <t>MAIL.: pereny@email.cz</t>
  </si>
  <si>
    <t>TEL.: 608 850 800</t>
  </si>
  <si>
    <t>IČO: 66413974</t>
  </si>
  <si>
    <t>SCHNIRCHOVA 1084/29 PRAHA 7 - HOLEŠOVICE 170 00 PRAHA 7</t>
  </si>
  <si>
    <t>ZPRACOVATEL: ING. ONDŘEJ FOUS</t>
  </si>
  <si>
    <t>DIČ: CZ7608201040</t>
  </si>
  <si>
    <t>Trvalky</t>
  </si>
  <si>
    <t>Keře</t>
  </si>
  <si>
    <t>Zámecké nádvoří</t>
  </si>
  <si>
    <t>Pokácení stromu směrové v celku o průměru kmene přes 100 do 200mm Tilia cordata</t>
  </si>
  <si>
    <t>Nálety  a keře keřová skupina - odstraňované</t>
  </si>
  <si>
    <t>obvodová redukce stromů</t>
  </si>
  <si>
    <t>Zmlazení  keřů o průměru koruny do 1,5m</t>
  </si>
  <si>
    <t>přesazení keřů Rhododenron 5ks</t>
  </si>
  <si>
    <t>Odstranění pařezu ručně, v rovině o průměru kmene přes 100 do 200mm</t>
  </si>
  <si>
    <t>184 40-1112</t>
  </si>
  <si>
    <t>Příprava dřeviny k přesazení s balem přes 0,8-1m pr., v rovině  nebo na svahu do 1:5 Rhododenron 5ks</t>
  </si>
  <si>
    <t>183 10-1221</t>
  </si>
  <si>
    <t>hloubení jamky s 50% výmšěnou půdy , v rovině nebo na svahu do 1:5 pr balu přes 0,4 do 1 m3  (270l bal)</t>
  </si>
  <si>
    <t>184 10-2117</t>
  </si>
  <si>
    <t>výsadba dřeviny s balem v rovině nebo na svahu do 1:5, pr balu od 0,8 do 1 m</t>
  </si>
  <si>
    <t>184 85-2414</t>
  </si>
  <si>
    <t>184 85-2412</t>
  </si>
  <si>
    <t>Zdravotní řez stromu, lezeckou technikou Acer platanoides, plocha koruny stromu do 240m2</t>
  </si>
  <si>
    <t>184 85-2218</t>
  </si>
  <si>
    <t>112 21-1211</t>
  </si>
  <si>
    <t>Stromy kácení</t>
  </si>
  <si>
    <t>úplná výměna lože</t>
  </si>
  <si>
    <t>TZ 01.01</t>
  </si>
  <si>
    <t>TZ 01.02</t>
  </si>
  <si>
    <t>TZ 02</t>
  </si>
  <si>
    <t>TZ 03</t>
  </si>
  <si>
    <t>KS 01</t>
  </si>
  <si>
    <t>KS 02</t>
  </si>
  <si>
    <t>PS 01</t>
  </si>
  <si>
    <t>trávník</t>
  </si>
  <si>
    <t>JTÚ do 5 cm trávník</t>
  </si>
  <si>
    <t>HTÚ do 10 cm záhony</t>
  </si>
  <si>
    <t>181 11-1111</t>
  </si>
  <si>
    <t>Plošná úprava terénu, při nerovnostech od 50-100mm, v rovině</t>
  </si>
  <si>
    <t>Tilia x europaea</t>
  </si>
  <si>
    <t>20-25</t>
  </si>
  <si>
    <t>Taxus baccata Repandens 20-30</t>
  </si>
  <si>
    <t>Geranium x cantabrigiense Biokovo p9</t>
  </si>
  <si>
    <t>Geranium x cantabrigiense Karmina p9</t>
  </si>
  <si>
    <t>Rozprostření štěrku - doplnění substrátu v rovině, přes 100 do 150mm</t>
  </si>
  <si>
    <t>183 21-1322</t>
  </si>
  <si>
    <t>Výsadba květin do předem připravené půdy, v rovině, hrnkovaných pr květináče od 80 do 120mm</t>
  </si>
  <si>
    <t>183 11-1111</t>
  </si>
  <si>
    <t>Alchemilla mollis</t>
  </si>
  <si>
    <t>Aquilegia vulgaris mix cvs.</t>
  </si>
  <si>
    <t>Asclepias tuberosa</t>
  </si>
  <si>
    <t>Aster novae-angliae ´Marina Wolkonsky´</t>
  </si>
  <si>
    <t>Athyrium filix-femina</t>
  </si>
  <si>
    <t>Brunnera macrophylla</t>
  </si>
  <si>
    <t>Buglossoides purpurocaerulea</t>
  </si>
  <si>
    <t>Echinacea pallida</t>
  </si>
  <si>
    <t>Euphorbia polychroma</t>
  </si>
  <si>
    <t>Geranium x magnificum</t>
  </si>
  <si>
    <t>Polygonatum multiflorum</t>
  </si>
  <si>
    <t>Schizachyrium scoparium</t>
  </si>
  <si>
    <t>Sporobolus heterolepis</t>
  </si>
  <si>
    <t>Thalictrum aquilegiifolium</t>
  </si>
  <si>
    <t>Thermopsis caroliniana</t>
  </si>
  <si>
    <t>Allium molly</t>
  </si>
  <si>
    <t>jemně drcená kůra 8-15 mm</t>
  </si>
  <si>
    <t>Ajuga reptans ´Catlin´s Giant´</t>
  </si>
  <si>
    <t>Rhododendron (přesazované) 150-180cm</t>
  </si>
  <si>
    <t>Ajuga reptans ´Catlin´s Giant´ p9</t>
  </si>
  <si>
    <t>Waldsteinia ternata p9</t>
  </si>
  <si>
    <t>182 30-1125</t>
  </si>
  <si>
    <t>Rozprostření a urovnání substrátu v rovině, přes 250 do 300mm</t>
  </si>
  <si>
    <t>121 11-2112</t>
  </si>
  <si>
    <t>Sejmutí ornice ručně vrsva celkem -30cm, s vodorovným přemístěním do 50m</t>
  </si>
  <si>
    <t>Rhododendrony 10ks/keř, trvalky 1 tabletu/ rostlinu</t>
  </si>
  <si>
    <t>Acer rubrum 'October Glory'</t>
  </si>
  <si>
    <t>Buddleia davidii ´Black Knight´</t>
  </si>
  <si>
    <t>Buddleia davidii ´White Profusion´</t>
  </si>
  <si>
    <t>Aconitum ´Spark´s Variety´</t>
  </si>
  <si>
    <t>Anemone x hybrida ´Andrea Atkinson´</t>
  </si>
  <si>
    <t>Anemone hupehensis var. japonica ´Pamina´</t>
  </si>
  <si>
    <t>Aster novae-angliae ´Andenken an Alma Pötschke´</t>
  </si>
  <si>
    <t>Aster lateriflorus ´Lady in Black´</t>
  </si>
  <si>
    <t>Aster pilosus var. pringlei ´Monte Cassino´</t>
  </si>
  <si>
    <t>Aster ericoides ´Pink Star´</t>
  </si>
  <si>
    <t>Aster lateriflorus ´Prince´</t>
  </si>
  <si>
    <t>Aster novae - angliae ´Purple Dome´</t>
  </si>
  <si>
    <t>Aster ericoides ´Snow Flurry´</t>
  </si>
  <si>
    <t>Aster ageratoides ´Stardust´</t>
  </si>
  <si>
    <t>Aster ageratoides ´Starshine´</t>
  </si>
  <si>
    <t>Baptisia australis ´Violet Blue´</t>
  </si>
  <si>
    <t>Bergenia ´Eroica´</t>
  </si>
  <si>
    <t>Coreopsis verticillata ´Moonbeam´</t>
  </si>
  <si>
    <t>Epimedium x perralchicum ´Fröhnleiten´</t>
  </si>
  <si>
    <t>Euphorbia amygdaloides ´Purpurea´</t>
  </si>
  <si>
    <t>Geranium x cantabrigiense ´Biokovo´</t>
  </si>
  <si>
    <t>Geranium x cantabrigiense ´Karmina´</t>
  </si>
  <si>
    <t>Geum coccineum ´Borisii´</t>
  </si>
  <si>
    <t>Hakonechloa macra ´Albolineata´</t>
  </si>
  <si>
    <t>Helianthemum ´Ben Fhada´</t>
  </si>
  <si>
    <t>Helianthemum ´Hartswood Ruby´</t>
  </si>
  <si>
    <t>Helenium ´Moerheim Beauty´</t>
  </si>
  <si>
    <t>Helianthemum ´The Bride´</t>
  </si>
  <si>
    <t>Heliopsis helianthoides ´Venus´</t>
  </si>
  <si>
    <t>Helianthemum ´Wisley Pink´</t>
  </si>
  <si>
    <t>Helianthemum ´Wisley Primrose´</t>
  </si>
  <si>
    <t>Hemerocallis ´Brilliant Circle´</t>
  </si>
  <si>
    <t>Hemerocallis ´Lavender Deal´</t>
  </si>
  <si>
    <t>Hemerocallis ´Pardon Me´</t>
  </si>
  <si>
    <t>Hemerocallis ´Yellow Lollipop´</t>
  </si>
  <si>
    <t>Hosta ´Blue Angel´</t>
  </si>
  <si>
    <t>Hosta ´Second Wind´</t>
  </si>
  <si>
    <t>Iberis ´Alexander´s White´</t>
  </si>
  <si>
    <t>Lavandula ´Hidcote´</t>
  </si>
  <si>
    <t>Miscanthus sinensis ´Kleine Silberspinne´</t>
  </si>
  <si>
    <t>Nepeta x faassenii ´Kit Cat´</t>
  </si>
  <si>
    <t>Peonia lactiflora ´Bowl of Beauty´</t>
  </si>
  <si>
    <t>Paeonia lactiflora ´Jan van Leeuwen´</t>
  </si>
  <si>
    <t>Paeonia lactiflora ´Sword Dance´</t>
  </si>
  <si>
    <t>Panicum virgatum ´Dallas Blues´</t>
  </si>
  <si>
    <t>Panicum virgatum ´Shenandoah´</t>
  </si>
  <si>
    <t>Veronicastrum virginicum ´Album´</t>
  </si>
  <si>
    <t>Veronicastrum virginicum ´Erica´</t>
  </si>
  <si>
    <t>Veronicastrum virginicum ´Fascination´</t>
  </si>
  <si>
    <t>Veronicastrum virginicum ´Red Arrows´</t>
  </si>
  <si>
    <t>Allium aflatunense ´Purple Sensation´</t>
  </si>
  <si>
    <t>Chionodoxa ´Pink Giant´</t>
  </si>
  <si>
    <t>Narcissus ´Actaea´</t>
  </si>
  <si>
    <t>Narcissus ´Ice Wings´</t>
  </si>
  <si>
    <t>Narcissus ´Peeping Tom´</t>
  </si>
  <si>
    <t>Scilla siberica ´Spring Beauty´</t>
  </si>
  <si>
    <t>Tulipa ´Lilac Wonder´</t>
  </si>
  <si>
    <t>Tulipa ´Ballerina´</t>
  </si>
  <si>
    <t>Tulipa ´Flaming Spring Green´</t>
  </si>
  <si>
    <t>Tulipa ´Jan Reus´</t>
  </si>
  <si>
    <t>Tulipa ´Purple Dream´</t>
  </si>
  <si>
    <t>Tulipa ´Spring Green´</t>
  </si>
  <si>
    <t>Tulipa ´West Point´</t>
  </si>
  <si>
    <t>Tulipa ´White Triumphator´</t>
  </si>
  <si>
    <t xml:space="preserve">materiál </t>
  </si>
  <si>
    <t>TZ 01.01 a 01.02</t>
  </si>
  <si>
    <t>Obdělání půdy hrabáním v rovině,  2x</t>
  </si>
  <si>
    <t>183 21-1313</t>
  </si>
  <si>
    <t>Výsadba cibulí do předem připravené půdy, v rovině</t>
  </si>
  <si>
    <t>Viburnum  x burkwoodii 60/80</t>
  </si>
  <si>
    <t>Trávník I. třída</t>
  </si>
  <si>
    <t>lokálne 50mm ornice doplnění 20%</t>
  </si>
  <si>
    <t>Chemické odplevelení postřikem na široko před založením kultury 2x, 2/3 plochy</t>
  </si>
  <si>
    <t>JTÚ</t>
  </si>
  <si>
    <t>Chemické odplevelení postřikem na široko před založením kultury 2x, 20% plochy</t>
  </si>
  <si>
    <t>odvoz a likvidace odpadu cca 1cm z celé plochy</t>
  </si>
  <si>
    <t>183 40-3161</t>
  </si>
  <si>
    <t>Obdělání půdy válením, v rovině,  2x</t>
  </si>
  <si>
    <t>zasekání ve dvou směrech do 7mm (hrabání 2x) Obdělání půdy hrabáním v rovině</t>
  </si>
  <si>
    <t>Plošná úprava terénu, při nerovnostech od 50-100mm, v rovině (včetně HTÚ s nerovnostmi nad 10cm)</t>
  </si>
  <si>
    <t>Rozprostření substrátu v rovině, do 100mm</t>
  </si>
  <si>
    <t>substrát místní drnovka a lokálně dovezená tříděná ornice</t>
  </si>
  <si>
    <t>185 80-2113</t>
  </si>
  <si>
    <t>hnojení 30gNPK/m2, umělým hnojivem na široko</t>
  </si>
  <si>
    <t>Obdělání půdy válením po první seči 2x</t>
  </si>
  <si>
    <t>Zalití rostlin vodou po výsadbě, výsevu, plochy jednotlivě 20l/m2, ve dvou dávkách posobě jdoucích, cena za jednu zálivku</t>
  </si>
  <si>
    <t>Péče o rostliny a trávník do předání investorovi</t>
  </si>
  <si>
    <t>Dodávka zásobního pomalu rozpustného hnojiva pro trávník 30 g/m2 (např. Yaramila Complex)</t>
  </si>
  <si>
    <t>osivo VV1 Okrasná univerzální travní směs  25g/m2</t>
  </si>
  <si>
    <t>viz trávník</t>
  </si>
  <si>
    <t>Cibuloviny</t>
  </si>
  <si>
    <t>Výsadba rostlin dle jednotlivých záhonů, založení trávníku</t>
  </si>
  <si>
    <t>Odpad vrstva cca 3cm, likvidace skládkovné, 1/2 plochy</t>
  </si>
  <si>
    <t>Odpad vrstva cca 5cm z 20% plochy</t>
  </si>
  <si>
    <t>Odstranění případného  drnu z trávníku</t>
  </si>
  <si>
    <t>Organický odpad  (drny, kořeny, listí) nelze uložit do souvrství. Bude odvezeno nebo uloženo, rozdhodnutí AD dle skutečnosti.</t>
  </si>
  <si>
    <t xml:space="preserve">Odpad vrstva cca 2cm, likvidace skládkovné, celá plocha, nebo použití do výsadeb, dle stavu půdy </t>
  </si>
  <si>
    <t>Zmlazení keřů  netrnitých průměru koruny  do 1,5 m(1m), výšky do 1m</t>
  </si>
  <si>
    <t>okrasné s balem</t>
  </si>
  <si>
    <t>rovina</t>
  </si>
  <si>
    <t>Doprava na místo, umístění stromů do jam</t>
  </si>
  <si>
    <t>Manipulace se stromy auto s rukou 3 dny, odhad</t>
  </si>
  <si>
    <t>184 80-6133</t>
  </si>
  <si>
    <t>Řez stromů výchovný dle potřeby, stromy o průměru koruny 4-6 m</t>
  </si>
  <si>
    <t>Vytyčení stromů</t>
  </si>
  <si>
    <t>183 10-1222</t>
  </si>
  <si>
    <t>Hloubení jamek s 50%výměnou půdy,  objem  přes 1 do 2m3, ve svahu přes 1:5 do 1:2 (1,2m3),</t>
  </si>
  <si>
    <t>Odvodnění v hloubce 50cm, ve směru vodoteče, dle pokynů  AD, u všech stromů</t>
  </si>
  <si>
    <t>Zhotovení drenážní kanyly v hloubce 50cm, včetně vyplnění trubky kamenivem 16-32</t>
  </si>
  <si>
    <t>Polyvinylchloridová drenážní trubka (flexibilní) DN 80,100cm dl (120cm)</t>
  </si>
  <si>
    <t>184 10-2128</t>
  </si>
  <si>
    <t>Výsadba dřevin s balem do vyhloubené jamky, ve svahu přes 1:5- do 1:2, pr. balu 1000-1200mm</t>
  </si>
  <si>
    <t>184 21-5212</t>
  </si>
  <si>
    <t>Ukotvení dřeviny podzemním kotvením, obvod kmene od 250 do 400mm</t>
  </si>
  <si>
    <t>Zemní kotvy např. Kotvos KSB Z2 (obv. kmene 20-40cm)</t>
  </si>
  <si>
    <t>184 21-5413</t>
  </si>
  <si>
    <t>Zhotovení závlahové mísy v rovině pr.150cm nad1m, výška lemu 15cm, na lem bude využita původní zemina z výkopu</t>
  </si>
  <si>
    <t>Jemná kůra 8-15mm, ztratné 5%, vrstva  7cm</t>
  </si>
  <si>
    <t>Rohož 1,5 výšky, štípaný bambus, prořez 5%</t>
  </si>
  <si>
    <t>184 50-1142</t>
  </si>
  <si>
    <t>Zhotovení obalu kmnene z rákosové rohože</t>
  </si>
  <si>
    <t>Štěrk 16-32</t>
  </si>
  <si>
    <t>Substrát spodní minerální -stávající půda a štěrk (1:1)</t>
  </si>
  <si>
    <t>Substrát horní organicko minerální -  stávající půda, štěrk, kompost - ornice (2:1:1)</t>
  </si>
  <si>
    <t>Ornice,  kompostní zemina</t>
  </si>
  <si>
    <t>Příprava substrátů - stavájící půdu promísit se štěrkem a ornicí ve výše uvedených poměrech</t>
  </si>
  <si>
    <t>Zalití rostlin vodou po výsadbě, výsevu, plochy jednotlivě 200l/ks, ve dvou dávkách</t>
  </si>
  <si>
    <t>Paeonia lactiflora ´Bowl of Beauty´</t>
  </si>
  <si>
    <t>Založení parteroveho  trávníku  výsevem, v rovině, včetně první seče</t>
  </si>
  <si>
    <t>Silvamix Forte 60, 10 g/ks</t>
  </si>
  <si>
    <t xml:space="preserve">Silvamix Forte 60, 10 g/ks </t>
  </si>
  <si>
    <t>02</t>
  </si>
  <si>
    <t>PS 01 128m2</t>
  </si>
  <si>
    <t>hnojení x4</t>
  </si>
  <si>
    <t>hnojivo</t>
  </si>
  <si>
    <t>184 80-2615</t>
  </si>
  <si>
    <t>mat.</t>
  </si>
  <si>
    <t>vertikutce 2x2</t>
  </si>
  <si>
    <t>111 15-1111</t>
  </si>
  <si>
    <t>písek</t>
  </si>
  <si>
    <t>183 45-1511</t>
  </si>
  <si>
    <t>193 45-1411</t>
  </si>
  <si>
    <t>Zalití rostlin vodou plochy jednotlivě 10l/m2 3x/měsíc, dle skutečné potřeby a počasí , 6 měsíců</t>
  </si>
  <si>
    <t>chemické ošetření (fungicid, herbicid) cca 3x/rok</t>
  </si>
  <si>
    <t>184 80-2611</t>
  </si>
  <si>
    <t>pískování 1x , vrstva 2mm</t>
  </si>
  <si>
    <t>185 80-4252</t>
  </si>
  <si>
    <t>185 80-4211</t>
  </si>
  <si>
    <t>185 80-4311</t>
  </si>
  <si>
    <t>odstranění odkvetlých a odumřelých částí rostlin 3x</t>
  </si>
  <si>
    <t>vypletí 4x</t>
  </si>
  <si>
    <t>Obvodová redukce stromu včetně zdravotního řezu, řez lezeckou technikou Tilia cordata, plocha koruny stromu do 78m2</t>
  </si>
  <si>
    <t>Obvodová redukce stromu včetně zdravotního řezu, řez lezeckou technikou Tilia cordata, plocha koruny stromu do 95m2 a 120 m2</t>
  </si>
  <si>
    <t>Obvodová redukce stromu včetně zdravotního řezu, řez lezeckou technikou Tilia cordata, plocha koruny stromu do 50m2</t>
  </si>
  <si>
    <t>celkem bez DPH</t>
  </si>
  <si>
    <t>DPH 21%</t>
  </si>
  <si>
    <t>včetně DPH 21%</t>
  </si>
  <si>
    <t>Stromy</t>
  </si>
  <si>
    <t xml:space="preserve">Stromy výsadba </t>
  </si>
  <si>
    <t>záhony</t>
  </si>
  <si>
    <t>travník 1 kategorie</t>
  </si>
  <si>
    <t>rok 1</t>
  </si>
  <si>
    <t>rok 2</t>
  </si>
  <si>
    <t>rok 3</t>
  </si>
  <si>
    <t>r- položka</t>
  </si>
  <si>
    <t>trvalky a keřové skupiny s trvalkami</t>
  </si>
  <si>
    <t>jarní řez, výhrab, čištění a pletí, záhonů</t>
  </si>
  <si>
    <t>184 80-6151</t>
  </si>
  <si>
    <t>Budleia řez keřů do 1,5m</t>
  </si>
  <si>
    <t>hnojivo hnojivo s dlouhodobým účinkem</t>
  </si>
  <si>
    <t>přihnojení výsadeb plošně granulátem</t>
  </si>
  <si>
    <t>mat</t>
  </si>
  <si>
    <t>odpad včetně likvidace</t>
  </si>
  <si>
    <t>hrabání listí</t>
  </si>
  <si>
    <t>185 81-1111</t>
  </si>
  <si>
    <t>dvůr, 12.1. 2018 havarijní stav javoru, pocitově náklon na pravou stranu (pohled od vrat) nutná výrazná obvodová redukce v této části. U země dutina, vyrůstá z leva proplétá se do prava - nutné výrazné odlehčení této část, zbytek řez zdravotní, bezpečnostní a redukční v menším měřítku. Pravděpodobně navážka na bázi.</t>
  </si>
  <si>
    <t xml:space="preserve">25-30 280 kg, průměr 90-100 balu, výška balu 50-70, objem 0,4 m3 </t>
  </si>
  <si>
    <t>rok</t>
  </si>
  <si>
    <t>TZ 04</t>
  </si>
  <si>
    <t>Trvalky Prérie</t>
  </si>
  <si>
    <t>Štěrk 8/16 (hmotnost sypaného kameniva 1,5t/m3), ztratné 5%</t>
  </si>
  <si>
    <t>z toho mulč kamenivo 8/16</t>
  </si>
  <si>
    <t>Prkna 130 x 25 mm (28x146)</t>
  </si>
  <si>
    <t>Zpevnění svahu prkny a roxory</t>
  </si>
  <si>
    <t>131 10-3101</t>
  </si>
  <si>
    <t>Hloubení ruční</t>
  </si>
  <si>
    <t>Odvoz a likvidace odpadu</t>
  </si>
  <si>
    <t>184 91-1151</t>
  </si>
  <si>
    <t>Mulčování vysazených rostlin kamenivem, v rovině, vrstva 5cm</t>
  </si>
  <si>
    <t>ps 8 parkoviště, ps 9 prředbraní, ks11 parkovišě, ps 6 parkoviště</t>
  </si>
  <si>
    <t>TZ 05</t>
  </si>
  <si>
    <t>TZ 06.01,02</t>
  </si>
  <si>
    <t>TZ 07</t>
  </si>
  <si>
    <t>Rudbeckia fulgida ´Little Goldstar´</t>
  </si>
  <si>
    <t>Panicum virgatum ´Warrior´</t>
  </si>
  <si>
    <t>Rudbeckia laciniata ´Herbstsonne´</t>
  </si>
  <si>
    <t>Rudbeckia fulgida ´Goldsturm´</t>
  </si>
  <si>
    <t>Hlavní areál</t>
  </si>
  <si>
    <t>Zámek</t>
  </si>
  <si>
    <t>stromy</t>
  </si>
  <si>
    <t>Zalití rostlin vodou po výsadbě, výsevu, plochy jednotlivě 200l/ks, ve dvou dávkách 6 měsíců x 3</t>
  </si>
  <si>
    <t>kontrola kotvení, povolení, odstranění ve třetím roce pokud dochází k škrcení kořenů, báze</t>
  </si>
  <si>
    <t>Celkem realizace, údžba, včetně DPH21%</t>
  </si>
  <si>
    <t>Realizace s DPH21%</t>
  </si>
  <si>
    <t>Realizace bez DPH</t>
  </si>
  <si>
    <t>Údržba 3 roky včetně DPH</t>
  </si>
  <si>
    <t>Celkem včetně DPH 21%</t>
  </si>
  <si>
    <t>parkovište 128m2 12.7.17, odebráno, 12.1.18.vráceno</t>
  </si>
  <si>
    <t xml:space="preserve">  -1ks 12.6.17. vráceno 12.1.18</t>
  </si>
  <si>
    <t>RENOVACE VÝSADEB A PARKOVÉ KOMPOZICE V AREÁLU ČHMU V  PRAZE - KOMOŘANECH - PRVNÍ ETAPA 02/2018</t>
  </si>
  <si>
    <t>Viburnum farreri 80-100</t>
  </si>
  <si>
    <r>
      <t>Brunnera macrophylla Betty Bowring</t>
    </r>
    <r>
      <rPr>
        <strike/>
        <sz val="8"/>
        <rFont val="Arial"/>
        <family val="2"/>
      </rPr>
      <t xml:space="preserve"> p9  </t>
    </r>
    <r>
      <rPr>
        <sz val="8"/>
        <rFont val="Arial"/>
        <family val="2"/>
      </rPr>
      <t>(K11)</t>
    </r>
  </si>
  <si>
    <t>Helleborus orientalis agg. (K11)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</si>
  <si>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</si>
  <si>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</si>
  <si>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</si>
  <si>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</si>
  <si>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</si>
  <si>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</si>
  <si>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</si>
  <si>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</si>
  <si>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</si>
  <si>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</si>
  <si>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</si>
  <si>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</si>
  <si>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Zalití rostlin vodou po výsadbě, výsevu, plochy jednotlivě 6 měsíců x 2</t>
  </si>
  <si>
    <t>dávka</t>
  </si>
  <si>
    <t>(0,5) zálivka poloviční dávkou</t>
  </si>
  <si>
    <t>Zalití rostlin vodou plochy jednotlivě, 10l/m2, 2x/měsíc, dle skutečné potřeby a počasí, 6 měsíců,  12 zálivek</t>
  </si>
  <si>
    <t>Zalití rostlin vodou plochy jednotlivě, 10 /m2, 2,5x/měsíc, dle skutečné potřeby a počasí, 6 měsíců, 15zálivek</t>
  </si>
  <si>
    <t>Řešené plochy celkem</t>
  </si>
  <si>
    <t>2018</t>
  </si>
  <si>
    <t>Údržba po dobu tří let vše (Zámek a Hl. areál TZ 4,5,6,7)</t>
  </si>
  <si>
    <t>Renovace výsadeb a parkové kompozice  - PRVNÍ ETAPA</t>
  </si>
  <si>
    <t>02/2018</t>
  </si>
  <si>
    <t>celkem za rok</t>
  </si>
  <si>
    <t>za rok včetně DPH 21%</t>
  </si>
  <si>
    <t>3 roky včetně DPH</t>
  </si>
  <si>
    <t>celkem položka</t>
  </si>
  <si>
    <t>celkem t</t>
  </si>
  <si>
    <t>Phlox paniculata ´Rembrandt´</t>
  </si>
  <si>
    <t>Salvia nemorosa ´Viola Klose´</t>
  </si>
  <si>
    <t>Salvia nemorosa ´Adrian´</t>
  </si>
  <si>
    <t>poznámky po jedn.</t>
  </si>
  <si>
    <t>Záhon bude po výsadbě plošně zamulčován kůrou 8-15mm, ve vrstvě 5 cm za předpokladu, že kůra bude opřena o stávající obruby.</t>
  </si>
  <si>
    <t xml:space="preserve">(v místech, kde záhon sousedí s obrubami) a bude dodržena skladba souvrství. Kůra nebude bombírována a  substrát bude 5cm pod horním okrajem obrubníků. </t>
  </si>
  <si>
    <t>Zalití rostlin vodou po výsadbě, výsevu, plochy jednotlivě 20l/m2, 2 dávky</t>
  </si>
  <si>
    <t>Budleia davidii Nanho Blue 80-100</t>
  </si>
  <si>
    <t>Budleia davidii Nanho Purple 80-100</t>
  </si>
  <si>
    <t>Budleia davidii Nanho White 80-100</t>
  </si>
  <si>
    <t xml:space="preserve"> =(0,8*1,5)*(1,5*0,8)*0,75= 1,08, -0,4 bal= 0,68 substrát * 2 stromy</t>
  </si>
  <si>
    <t>Seč trávníku 24 x</t>
  </si>
  <si>
    <t>odstranění odkvetlých a odumřelých částí rostlin 2x</t>
  </si>
  <si>
    <t xml:space="preserve">  -přidáno 12.1.18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</si>
</sst>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č&quot;_-;\-* #,##0.00\ &quot;Kč&quot;_-;_-* &quot;-&quot;??\ &quot;Kč&quot;_-;_-@_-"/>
    <numFmt numFmtId="164" formatCode="dd/mm/yy"/>
    <numFmt numFmtId="165" formatCode="0.0"/>
    <numFmt numFmtId="166" formatCode="#,##0\ &quot;Kč&quot;"/>
    <numFmt numFmtId="167" formatCode="[$-F800]dddd\,\ mmmm\ dd\,\ yyyy"/>
    <numFmt numFmtId="168" formatCode="0.0000"/>
    <numFmt numFmtId="169" formatCode="0.000"/>
    <numFmt numFmtId="170" formatCode="_-* #,##0.00\ [$Kč-405]_-;\-* #,##0.00\ [$Kč-405]_-;_-* &quot;-&quot;??\ [$Kč-405]_-;_-@_-"/>
    <numFmt numFmtId="171" formatCode="#,##0.0000"/>
    <numFmt numFmtId="172" formatCode="#,##0.000"/>
  </numFmts>
  <fonts count="3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10"/>
      <name val="Arial Narrow"/>
      <family val="2"/>
    </font>
    <font>
      <b/>
      <sz val="16"/>
      <color indexed="9"/>
      <name val="Arial Narrow"/>
      <family val="2"/>
    </font>
    <font>
      <b/>
      <sz val="26"/>
      <color indexed="9"/>
      <name val="Arial Narrow"/>
      <family val="2"/>
    </font>
    <font>
      <sz val="11"/>
      <color indexed="9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theme="1"/>
      <name val="Arial Narrow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.5"/>
      <name val="Arial Narrow"/>
      <family val="2"/>
    </font>
    <font>
      <sz val="8"/>
      <name val="Arial CE"/>
      <family val="2"/>
    </font>
    <font>
      <i/>
      <sz val="8"/>
      <name val="Arial"/>
      <family val="2"/>
    </font>
    <font>
      <strike/>
      <sz val="8"/>
      <name val="Arial"/>
      <family val="2"/>
    </font>
    <font>
      <i/>
      <sz val="10"/>
      <name val="Arial CE"/>
      <family val="2"/>
    </font>
    <font>
      <strike/>
      <sz val="10"/>
      <name val="Arial"/>
      <family val="2"/>
    </font>
    <font>
      <i/>
      <strike/>
      <sz val="8"/>
      <name val="Arial"/>
      <family val="2"/>
    </font>
    <font>
      <i/>
      <strike/>
      <sz val="10"/>
      <name val="Arial CE"/>
      <family val="2"/>
    </font>
    <font>
      <sz val="11"/>
      <name val="Calibri"/>
      <family val="2"/>
    </font>
    <font>
      <b/>
      <sz val="8"/>
      <name val="Arial CE"/>
      <family val="2"/>
    </font>
    <font>
      <i/>
      <sz val="12"/>
      <name val="Arial"/>
      <family val="2"/>
    </font>
    <font>
      <b/>
      <strike/>
      <sz val="8"/>
      <name val="Arial"/>
      <family val="2"/>
    </font>
    <font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8">
    <border>
      <left/>
      <right/>
      <top/>
      <bottom/>
      <diagonal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68" fontId="0" fillId="0" borderId="1" applyBorder="0" applyAlignment="0">
      <protection/>
    </xf>
    <xf numFmtId="169" fontId="0" fillId="0" borderId="2" applyBorder="0" applyAlignment="0">
      <protection/>
    </xf>
    <xf numFmtId="44" fontId="0" fillId="0" borderId="0" applyFont="0" applyFill="0" applyBorder="0" applyAlignment="0" applyProtection="0"/>
  </cellStyleXfs>
  <cellXfs count="477">
    <xf numFmtId="0" fontId="0" fillId="0" borderId="0" xfId="0"/>
    <xf numFmtId="0" fontId="2" fillId="0" borderId="3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49" fontId="5" fillId="2" borderId="6" xfId="0" applyNumberFormat="1" applyFont="1" applyFill="1" applyBorder="1" applyAlignment="1">
      <alignment horizontal="left"/>
    </xf>
    <xf numFmtId="0" fontId="4" fillId="0" borderId="7" xfId="0" applyFont="1" applyBorder="1"/>
    <xf numFmtId="49" fontId="4" fillId="0" borderId="8" xfId="0" applyNumberFormat="1" applyFont="1" applyBorder="1" applyAlignment="1">
      <alignment horizontal="left"/>
    </xf>
    <xf numFmtId="0" fontId="1" fillId="0" borderId="9" xfId="0" applyFont="1" applyBorder="1"/>
    <xf numFmtId="0" fontId="4" fillId="0" borderId="10" xfId="0" applyFont="1" applyBorder="1"/>
    <xf numFmtId="49" fontId="4" fillId="0" borderId="11" xfId="0" applyNumberFormat="1" applyFont="1" applyBorder="1"/>
    <xf numFmtId="49" fontId="4" fillId="0" borderId="10" xfId="0" applyNumberFormat="1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3" fillId="0" borderId="9" xfId="0" applyFont="1" applyBorder="1"/>
    <xf numFmtId="49" fontId="4" fillId="0" borderId="13" xfId="0" applyNumberFormat="1" applyFont="1" applyBorder="1" applyAlignment="1">
      <alignment horizontal="left"/>
    </xf>
    <xf numFmtId="49" fontId="1" fillId="2" borderId="10" xfId="0" applyNumberFormat="1" applyFont="1" applyFill="1" applyBorder="1"/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4" fillId="0" borderId="12" xfId="0" applyFont="1" applyFill="1" applyBorder="1"/>
    <xf numFmtId="3" fontId="4" fillId="0" borderId="13" xfId="0" applyNumberFormat="1" applyFont="1" applyBorder="1" applyAlignment="1">
      <alignment horizontal="left"/>
    </xf>
    <xf numFmtId="0" fontId="0" fillId="0" borderId="0" xfId="0" applyFill="1"/>
    <xf numFmtId="49" fontId="1" fillId="2" borderId="14" xfId="0" applyNumberFormat="1" applyFont="1" applyFill="1" applyBorder="1"/>
    <xf numFmtId="49" fontId="4" fillId="0" borderId="12" xfId="0" applyNumberFormat="1" applyFont="1" applyBorder="1" applyAlignment="1">
      <alignment horizontal="left"/>
    </xf>
    <xf numFmtId="0" fontId="4" fillId="0" borderId="15" xfId="0" applyFont="1" applyBorder="1"/>
    <xf numFmtId="0" fontId="4" fillId="0" borderId="12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9" xfId="0" applyFont="1" applyBorder="1"/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8" xfId="0" applyNumberFormat="1" applyFont="1" applyBorder="1"/>
    <xf numFmtId="0" fontId="1" fillId="0" borderId="4" xfId="0" applyFont="1" applyBorder="1"/>
    <xf numFmtId="3" fontId="1" fillId="0" borderId="6" xfId="0" applyNumberFormat="1" applyFont="1" applyBorder="1"/>
    <xf numFmtId="0" fontId="1" fillId="0" borderId="5" xfId="0" applyFont="1" applyBorder="1"/>
    <xf numFmtId="3" fontId="1" fillId="0" borderId="11" xfId="0" applyNumberFormat="1" applyFont="1" applyBorder="1"/>
    <xf numFmtId="0" fontId="1" fillId="0" borderId="10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28" xfId="0" applyFont="1" applyBorder="1"/>
    <xf numFmtId="0" fontId="1" fillId="0" borderId="0" xfId="0" applyFont="1" applyBorder="1"/>
    <xf numFmtId="3" fontId="1" fillId="0" borderId="29" xfId="0" applyNumberFormat="1" applyFont="1" applyBorder="1"/>
    <xf numFmtId="0" fontId="1" fillId="0" borderId="30" xfId="0" applyFont="1" applyBorder="1"/>
    <xf numFmtId="3" fontId="1" fillId="0" borderId="31" xfId="0" applyNumberFormat="1" applyFont="1" applyBorder="1"/>
    <xf numFmtId="0" fontId="1" fillId="0" borderId="32" xfId="0" applyFont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5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1" fillId="0" borderId="14" xfId="0" applyFont="1" applyBorder="1"/>
    <xf numFmtId="0" fontId="1" fillId="0" borderId="0" xfId="0" applyFont="1"/>
    <xf numFmtId="0" fontId="1" fillId="0" borderId="35" xfId="0" applyFont="1" applyBorder="1"/>
    <xf numFmtId="0" fontId="1" fillId="0" borderId="36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165" fontId="1" fillId="0" borderId="41" xfId="0" applyNumberFormat="1" applyFont="1" applyBorder="1" applyAlignment="1">
      <alignment horizontal="right"/>
    </xf>
    <xf numFmtId="0" fontId="1" fillId="0" borderId="41" xfId="0" applyFont="1" applyBorder="1"/>
    <xf numFmtId="0" fontId="1" fillId="0" borderId="11" xfId="0" applyFont="1" applyBorder="1"/>
    <xf numFmtId="165" fontId="1" fillId="0" borderId="10" xfId="0" applyNumberFormat="1" applyFont="1" applyBorder="1" applyAlignment="1">
      <alignment horizontal="right"/>
    </xf>
    <xf numFmtId="0" fontId="6" fillId="2" borderId="30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1" fillId="0" borderId="42" xfId="21" applyFont="1" applyBorder="1">
      <alignment/>
      <protection/>
    </xf>
    <xf numFmtId="0" fontId="1" fillId="0" borderId="43" xfId="0" applyNumberFormat="1" applyFont="1" applyBorder="1"/>
    <xf numFmtId="49" fontId="3" fillId="0" borderId="44" xfId="21" applyNumberFormat="1" applyFont="1" applyBorder="1">
      <alignment/>
      <protection/>
    </xf>
    <xf numFmtId="49" fontId="1" fillId="0" borderId="44" xfId="21" applyNumberFormat="1" applyFont="1" applyBorder="1">
      <alignment/>
      <protection/>
    </xf>
    <xf numFmtId="49" fontId="1" fillId="0" borderId="44" xfId="21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4" fillId="0" borderId="0" xfId="0" applyFont="1" applyBorder="1"/>
    <xf numFmtId="3" fontId="1" fillId="0" borderId="36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46" xfId="0" applyNumberFormat="1" applyFont="1" applyFill="1" applyBorder="1"/>
    <xf numFmtId="3" fontId="3" fillId="2" borderId="47" xfId="0" applyNumberFormat="1" applyFont="1" applyFill="1" applyBorder="1"/>
    <xf numFmtId="0" fontId="8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4" xfId="0" applyFont="1" applyFill="1" applyBorder="1"/>
    <xf numFmtId="0" fontId="3" fillId="2" borderId="4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4" fontId="5" fillId="2" borderId="34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30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9" xfId="0" applyNumberFormat="1" applyFont="1" applyFill="1" applyBorder="1"/>
    <xf numFmtId="4" fontId="1" fillId="2" borderId="30" xfId="0" applyNumberFormat="1" applyFont="1" applyFill="1" applyBorder="1"/>
    <xf numFmtId="4" fontId="1" fillId="2" borderId="31" xfId="0" applyNumberFormat="1" applyFon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3" fontId="1" fillId="0" borderId="50" xfId="0" applyNumberFormat="1" applyFont="1" applyBorder="1"/>
    <xf numFmtId="3" fontId="1" fillId="0" borderId="51" xfId="0" applyNumberFormat="1" applyFont="1" applyBorder="1"/>
    <xf numFmtId="0" fontId="11" fillId="0" borderId="0" xfId="20" applyNumberFormat="1" applyFont="1" applyAlignment="1">
      <alignment horizontal="center"/>
      <protection/>
    </xf>
    <xf numFmtId="0" fontId="11" fillId="0" borderId="0" xfId="20" applyNumberFormat="1" applyFont="1">
      <alignment/>
      <protection/>
    </xf>
    <xf numFmtId="0" fontId="11" fillId="0" borderId="0" xfId="20" applyNumberFormat="1" applyFont="1" applyAlignment="1">
      <alignment vertical="center"/>
      <protection/>
    </xf>
    <xf numFmtId="0" fontId="14" fillId="3" borderId="28" xfId="20" applyNumberFormat="1" applyFont="1" applyFill="1" applyBorder="1" applyAlignment="1">
      <alignment horizontal="right" vertical="center"/>
      <protection/>
    </xf>
    <xf numFmtId="0" fontId="14" fillId="3" borderId="0" xfId="20" applyNumberFormat="1" applyFont="1" applyFill="1" applyBorder="1" applyAlignment="1">
      <alignment horizontal="right" vertical="center"/>
      <protection/>
    </xf>
    <xf numFmtId="0" fontId="16" fillId="3" borderId="0" xfId="20" applyNumberFormat="1" applyFont="1" applyFill="1" applyBorder="1" applyAlignment="1">
      <alignment horizontal="right" vertical="center"/>
      <protection/>
    </xf>
    <xf numFmtId="0" fontId="17" fillId="0" borderId="0" xfId="20" applyNumberFormat="1" applyFont="1" applyAlignment="1">
      <alignment horizontal="right"/>
      <protection/>
    </xf>
    <xf numFmtId="1" fontId="4" fillId="0" borderId="28" xfId="0" applyNumberFormat="1" applyFont="1" applyBorder="1" applyAlignment="1">
      <alignment horizontal="left"/>
    </xf>
    <xf numFmtId="49" fontId="3" fillId="2" borderId="9" xfId="0" applyNumberFormat="1" applyFont="1" applyFill="1" applyBorder="1"/>
    <xf numFmtId="49" fontId="3" fillId="2" borderId="28" xfId="0" applyNumberFormat="1" applyFont="1" applyFill="1" applyBorder="1"/>
    <xf numFmtId="49" fontId="1" fillId="0" borderId="52" xfId="0" applyNumberFormat="1" applyFont="1" applyFill="1" applyBorder="1" applyAlignment="1">
      <alignment horizontal="left"/>
    </xf>
    <xf numFmtId="0" fontId="11" fillId="0" borderId="0" xfId="20" applyNumberFormat="1" applyFont="1" applyFill="1" applyAlignment="1">
      <alignment horizontal="center"/>
      <protection/>
    </xf>
    <xf numFmtId="0" fontId="11" fillId="0" borderId="0" xfId="20" applyNumberFormat="1" applyFont="1" applyFill="1" applyAlignment="1">
      <alignment horizontal="right"/>
      <protection/>
    </xf>
    <xf numFmtId="0" fontId="11" fillId="0" borderId="0" xfId="20" applyNumberFormat="1" applyFont="1" applyFill="1" applyAlignment="1">
      <alignment horizontal="left"/>
      <protection/>
    </xf>
    <xf numFmtId="0" fontId="18" fillId="0" borderId="0" xfId="20" applyNumberFormat="1" applyFont="1" applyFill="1" applyAlignment="1">
      <alignment horizontal="right"/>
      <protection/>
    </xf>
    <xf numFmtId="0" fontId="18" fillId="0" borderId="0" xfId="20" applyNumberFormat="1" applyFont="1" applyFill="1" applyAlignment="1">
      <alignment/>
      <protection/>
    </xf>
    <xf numFmtId="14" fontId="18" fillId="0" borderId="0" xfId="20" applyNumberFormat="1" applyFont="1" applyFill="1" applyAlignment="1">
      <alignment/>
      <protection/>
    </xf>
    <xf numFmtId="14" fontId="0" fillId="0" borderId="0" xfId="0" applyNumberFormat="1" applyFill="1" applyAlignment="1">
      <alignment/>
    </xf>
    <xf numFmtId="14" fontId="18" fillId="0" borderId="0" xfId="20" applyNumberFormat="1" applyFont="1" applyFill="1" applyAlignment="1">
      <alignment horizontal="right"/>
      <protection/>
    </xf>
    <xf numFmtId="0" fontId="10" fillId="0" borderId="12" xfId="21" applyFont="1" applyFill="1" applyBorder="1" applyAlignment="1">
      <alignment vertical="top" wrapText="1"/>
      <protection/>
    </xf>
    <xf numFmtId="0" fontId="20" fillId="0" borderId="12" xfId="21" applyFont="1" applyFill="1" applyBorder="1" applyAlignment="1">
      <alignment vertical="top" wrapText="1"/>
      <protection/>
    </xf>
    <xf numFmtId="4" fontId="10" fillId="0" borderId="12" xfId="21" applyNumberFormat="1" applyFont="1" applyFill="1" applyBorder="1" applyAlignment="1">
      <alignment horizontal="right" vertical="top"/>
      <protection/>
    </xf>
    <xf numFmtId="49" fontId="10" fillId="0" borderId="12" xfId="21" applyNumberFormat="1" applyFont="1" applyFill="1" applyBorder="1" applyAlignment="1">
      <alignment horizontal="center" vertical="top" shrinkToFit="1"/>
      <protection/>
    </xf>
    <xf numFmtId="0" fontId="10" fillId="0" borderId="12" xfId="21" applyFont="1" applyFill="1" applyBorder="1" applyAlignment="1">
      <alignment vertical="top"/>
      <protection/>
    </xf>
    <xf numFmtId="0" fontId="10" fillId="0" borderId="12" xfId="0" applyFont="1" applyFill="1" applyBorder="1"/>
    <xf numFmtId="0" fontId="10" fillId="0" borderId="0" xfId="21" applyFont="1" applyFill="1" applyAlignment="1">
      <alignment vertical="top"/>
      <protection/>
    </xf>
    <xf numFmtId="0" fontId="10" fillId="0" borderId="52" xfId="21" applyFont="1" applyFill="1" applyBorder="1" applyAlignment="1">
      <alignment vertical="top"/>
      <protection/>
    </xf>
    <xf numFmtId="49" fontId="20" fillId="0" borderId="44" xfId="21" applyNumberFormat="1" applyFont="1" applyFill="1" applyBorder="1" applyAlignment="1">
      <alignment vertical="top"/>
      <protection/>
    </xf>
    <xf numFmtId="0" fontId="10" fillId="0" borderId="44" xfId="21" applyFont="1" applyFill="1" applyBorder="1" applyAlignment="1">
      <alignment vertical="top"/>
      <protection/>
    </xf>
    <xf numFmtId="0" fontId="10" fillId="0" borderId="12" xfId="21" applyFont="1" applyFill="1" applyBorder="1" applyAlignment="1">
      <alignment horizontal="center" vertical="top"/>
      <protection/>
    </xf>
    <xf numFmtId="0" fontId="20" fillId="0" borderId="12" xfId="21" applyFont="1" applyFill="1" applyBorder="1" applyAlignment="1">
      <alignment horizontal="center" vertical="top"/>
      <protection/>
    </xf>
    <xf numFmtId="4" fontId="10" fillId="0" borderId="12" xfId="21" applyNumberFormat="1" applyFont="1" applyFill="1" applyBorder="1" applyAlignment="1">
      <alignment vertical="top"/>
      <protection/>
    </xf>
    <xf numFmtId="0" fontId="20" fillId="0" borderId="0" xfId="21" applyFont="1" applyFill="1" applyAlignment="1">
      <alignment vertical="top"/>
      <protection/>
    </xf>
    <xf numFmtId="0" fontId="20" fillId="0" borderId="12" xfId="21" applyFont="1" applyFill="1" applyBorder="1" applyAlignment="1">
      <alignment vertical="top"/>
      <protection/>
    </xf>
    <xf numFmtId="0" fontId="10" fillId="0" borderId="12" xfId="0" applyFont="1" applyFill="1" applyBorder="1" applyAlignment="1">
      <alignment/>
    </xf>
    <xf numFmtId="0" fontId="21" fillId="0" borderId="12" xfId="21" applyFont="1" applyFill="1" applyBorder="1" applyAlignment="1">
      <alignment vertical="top"/>
      <protection/>
    </xf>
    <xf numFmtId="4" fontId="20" fillId="0" borderId="12" xfId="21" applyNumberFormat="1" applyFont="1" applyFill="1" applyBorder="1" applyAlignment="1">
      <alignment horizontal="right" vertical="top"/>
      <protection/>
    </xf>
    <xf numFmtId="0" fontId="10" fillId="0" borderId="0" xfId="21" applyFont="1" applyFill="1" applyBorder="1" applyAlignment="1">
      <alignment vertical="top"/>
      <protection/>
    </xf>
    <xf numFmtId="0" fontId="10" fillId="0" borderId="53" xfId="21" applyFont="1" applyFill="1" applyBorder="1" applyAlignment="1">
      <alignment vertical="top"/>
      <protection/>
    </xf>
    <xf numFmtId="9" fontId="10" fillId="0" borderId="12" xfId="21" applyNumberFormat="1" applyFont="1" applyFill="1" applyBorder="1" applyAlignment="1">
      <alignment vertical="top" wrapText="1"/>
      <protection/>
    </xf>
    <xf numFmtId="0" fontId="10" fillId="0" borderId="7" xfId="21" applyFont="1" applyFill="1" applyBorder="1" applyAlignment="1">
      <alignment horizontal="center" vertical="top"/>
      <protection/>
    </xf>
    <xf numFmtId="49" fontId="20" fillId="0" borderId="52" xfId="21" applyNumberFormat="1" applyFont="1" applyFill="1" applyBorder="1" applyAlignment="1">
      <alignment vertical="top" shrinkToFit="1"/>
      <protection/>
    </xf>
    <xf numFmtId="4" fontId="10" fillId="0" borderId="42" xfId="21" applyNumberFormat="1" applyFont="1" applyFill="1" applyBorder="1" applyAlignment="1">
      <alignment horizontal="left" vertical="top"/>
      <protection/>
    </xf>
    <xf numFmtId="4" fontId="10" fillId="0" borderId="0" xfId="21" applyNumberFormat="1" applyFont="1" applyFill="1" applyAlignment="1">
      <alignment horizontal="right" vertical="top"/>
      <protection/>
    </xf>
    <xf numFmtId="4" fontId="10" fillId="0" borderId="0" xfId="21" applyNumberFormat="1" applyFont="1" applyFill="1" applyAlignment="1">
      <alignment vertical="top"/>
      <protection/>
    </xf>
    <xf numFmtId="4" fontId="10" fillId="0" borderId="0" xfId="21" applyNumberFormat="1" applyFont="1" applyFill="1" applyBorder="1" applyAlignment="1">
      <alignment vertical="top"/>
      <protection/>
    </xf>
    <xf numFmtId="4" fontId="10" fillId="0" borderId="52" xfId="21" applyNumberFormat="1" applyFont="1" applyFill="1" applyBorder="1" applyAlignment="1">
      <alignment horizontal="left" vertical="top"/>
      <protection/>
    </xf>
    <xf numFmtId="3" fontId="10" fillId="0" borderId="0" xfId="21" applyNumberFormat="1" applyFont="1" applyFill="1" applyAlignment="1">
      <alignment vertical="top"/>
      <protection/>
    </xf>
    <xf numFmtId="3" fontId="10" fillId="0" borderId="12" xfId="21" applyNumberFormat="1" applyFont="1" applyFill="1" applyBorder="1" applyAlignment="1">
      <alignment vertical="top"/>
      <protection/>
    </xf>
    <xf numFmtId="3" fontId="20" fillId="0" borderId="12" xfId="21" applyNumberFormat="1" applyFont="1" applyFill="1" applyBorder="1" applyAlignment="1">
      <alignment vertical="top"/>
      <protection/>
    </xf>
    <xf numFmtId="3" fontId="10" fillId="0" borderId="0" xfId="21" applyNumberFormat="1" applyFont="1" applyFill="1" applyBorder="1" applyAlignment="1">
      <alignment vertical="top"/>
      <protection/>
    </xf>
    <xf numFmtId="0" fontId="10" fillId="0" borderId="53" xfId="21" applyFont="1" applyFill="1" applyBorder="1" applyAlignment="1">
      <alignment horizontal="center" vertical="top"/>
      <protection/>
    </xf>
    <xf numFmtId="4" fontId="10" fillId="0" borderId="7" xfId="21" applyNumberFormat="1" applyFont="1" applyFill="1" applyBorder="1" applyAlignment="1">
      <alignment horizontal="right" vertical="top"/>
      <protection/>
    </xf>
    <xf numFmtId="3" fontId="10" fillId="0" borderId="7" xfId="21" applyNumberFormat="1" applyFont="1" applyFill="1" applyBorder="1" applyAlignment="1">
      <alignment vertical="top"/>
      <protection/>
    </xf>
    <xf numFmtId="49" fontId="20" fillId="0" borderId="54" xfId="21" applyNumberFormat="1" applyFont="1" applyFill="1" applyBorder="1" applyAlignment="1">
      <alignment horizontal="center"/>
      <protection/>
    </xf>
    <xf numFmtId="0" fontId="20" fillId="0" borderId="46" xfId="21" applyFont="1" applyFill="1" applyBorder="1" applyAlignment="1">
      <alignment vertical="top"/>
      <protection/>
    </xf>
    <xf numFmtId="0" fontId="10" fillId="0" borderId="46" xfId="21" applyFont="1" applyFill="1" applyBorder="1" applyAlignment="1">
      <alignment horizontal="center" vertical="top"/>
      <protection/>
    </xf>
    <xf numFmtId="4" fontId="10" fillId="0" borderId="46" xfId="21" applyNumberFormat="1" applyFont="1" applyFill="1" applyBorder="1" applyAlignment="1">
      <alignment horizontal="right" vertical="top"/>
      <protection/>
    </xf>
    <xf numFmtId="3" fontId="10" fillId="0" borderId="46" xfId="21" applyNumberFormat="1" applyFont="1" applyFill="1" applyBorder="1" applyAlignment="1">
      <alignment vertical="top"/>
      <protection/>
    </xf>
    <xf numFmtId="0" fontId="21" fillId="0" borderId="53" xfId="21" applyFont="1" applyFill="1" applyBorder="1" applyAlignment="1">
      <alignment vertical="top"/>
      <protection/>
    </xf>
    <xf numFmtId="0" fontId="20" fillId="0" borderId="53" xfId="21" applyFont="1" applyFill="1" applyBorder="1" applyAlignment="1">
      <alignment horizontal="center" vertical="top"/>
      <protection/>
    </xf>
    <xf numFmtId="4" fontId="20" fillId="0" borderId="53" xfId="21" applyNumberFormat="1" applyFont="1" applyFill="1" applyBorder="1" applyAlignment="1">
      <alignment horizontal="right" vertical="top"/>
      <protection/>
    </xf>
    <xf numFmtId="3" fontId="20" fillId="0" borderId="53" xfId="21" applyNumberFormat="1" applyFont="1" applyFill="1" applyBorder="1" applyAlignment="1">
      <alignment vertical="top"/>
      <protection/>
    </xf>
    <xf numFmtId="0" fontId="10" fillId="0" borderId="53" xfId="21" applyFont="1" applyFill="1" applyBorder="1" applyAlignment="1">
      <alignment vertical="top" wrapText="1"/>
      <protection/>
    </xf>
    <xf numFmtId="49" fontId="10" fillId="0" borderId="53" xfId="21" applyNumberFormat="1" applyFont="1" applyFill="1" applyBorder="1" applyAlignment="1">
      <alignment horizontal="center" vertical="top" shrinkToFit="1"/>
      <protection/>
    </xf>
    <xf numFmtId="4" fontId="10" fillId="0" borderId="53" xfId="21" applyNumberFormat="1" applyFont="1" applyFill="1" applyBorder="1" applyAlignment="1">
      <alignment horizontal="right" vertical="top"/>
      <protection/>
    </xf>
    <xf numFmtId="3" fontId="10" fillId="0" borderId="53" xfId="21" applyNumberFormat="1" applyFont="1" applyFill="1" applyBorder="1" applyAlignment="1">
      <alignment vertical="top"/>
      <protection/>
    </xf>
    <xf numFmtId="0" fontId="20" fillId="0" borderId="7" xfId="21" applyFont="1" applyFill="1" applyBorder="1" applyAlignment="1">
      <alignment vertical="top" wrapText="1"/>
      <protection/>
    </xf>
    <xf numFmtId="49" fontId="10" fillId="0" borderId="7" xfId="21" applyNumberFormat="1" applyFont="1" applyFill="1" applyBorder="1" applyAlignment="1">
      <alignment horizontal="center" vertical="top" shrinkToFit="1"/>
      <protection/>
    </xf>
    <xf numFmtId="0" fontId="20" fillId="0" borderId="46" xfId="21" applyFont="1" applyFill="1" applyBorder="1" applyAlignment="1">
      <alignment vertical="top" wrapText="1"/>
      <protection/>
    </xf>
    <xf numFmtId="49" fontId="10" fillId="0" borderId="46" xfId="21" applyNumberFormat="1" applyFont="1" applyFill="1" applyBorder="1" applyAlignment="1">
      <alignment horizontal="center" vertical="top" shrinkToFit="1"/>
      <protection/>
    </xf>
    <xf numFmtId="0" fontId="20" fillId="0" borderId="53" xfId="21" applyFont="1" applyFill="1" applyBorder="1" applyAlignment="1">
      <alignment vertical="top"/>
      <protection/>
    </xf>
    <xf numFmtId="0" fontId="10" fillId="0" borderId="7" xfId="21" applyFont="1" applyFill="1" applyBorder="1" applyAlignment="1">
      <alignment vertical="top" wrapText="1"/>
      <protection/>
    </xf>
    <xf numFmtId="0" fontId="10" fillId="0" borderId="13" xfId="21" applyFont="1" applyFill="1" applyBorder="1" applyAlignment="1">
      <alignment vertical="top"/>
      <protection/>
    </xf>
    <xf numFmtId="4" fontId="10" fillId="0" borderId="0" xfId="21" applyNumberFormat="1" applyFont="1" applyFill="1" applyBorder="1" applyAlignment="1">
      <alignment horizontal="right" vertical="top"/>
      <protection/>
    </xf>
    <xf numFmtId="0" fontId="20" fillId="0" borderId="55" xfId="21" applyFont="1" applyFill="1" applyBorder="1" applyAlignment="1">
      <alignment vertical="top"/>
      <protection/>
    </xf>
    <xf numFmtId="0" fontId="10" fillId="0" borderId="55" xfId="21" applyFont="1" applyFill="1" applyBorder="1" applyAlignment="1">
      <alignment horizontal="center" vertical="top"/>
      <protection/>
    </xf>
    <xf numFmtId="4" fontId="10" fillId="0" borderId="55" xfId="21" applyNumberFormat="1" applyFont="1" applyFill="1" applyBorder="1" applyAlignment="1">
      <alignment horizontal="right" vertical="top"/>
      <protection/>
    </xf>
    <xf numFmtId="3" fontId="10" fillId="0" borderId="55" xfId="21" applyNumberFormat="1" applyFont="1" applyFill="1" applyBorder="1" applyAlignment="1">
      <alignment vertical="top"/>
      <protection/>
    </xf>
    <xf numFmtId="0" fontId="10" fillId="0" borderId="56" xfId="21" applyFont="1" applyFill="1" applyBorder="1" applyAlignment="1">
      <alignment vertical="top"/>
      <protection/>
    </xf>
    <xf numFmtId="4" fontId="10" fillId="0" borderId="56" xfId="21" applyNumberFormat="1" applyFont="1" applyFill="1" applyBorder="1" applyAlignment="1">
      <alignment horizontal="right" vertical="top"/>
      <protection/>
    </xf>
    <xf numFmtId="4" fontId="10" fillId="0" borderId="56" xfId="21" applyNumberFormat="1" applyFont="1" applyFill="1" applyBorder="1" applyAlignment="1">
      <alignment vertical="top"/>
      <protection/>
    </xf>
    <xf numFmtId="4" fontId="10" fillId="0" borderId="53" xfId="21" applyNumberFormat="1" applyFont="1" applyFill="1" applyBorder="1" applyAlignment="1">
      <alignment vertical="top"/>
      <protection/>
    </xf>
    <xf numFmtId="0" fontId="10" fillId="0" borderId="55" xfId="21" applyFont="1" applyFill="1" applyBorder="1" applyAlignment="1">
      <alignment vertical="top"/>
      <protection/>
    </xf>
    <xf numFmtId="4" fontId="10" fillId="0" borderId="55" xfId="21" applyNumberFormat="1" applyFont="1" applyFill="1" applyBorder="1" applyAlignment="1">
      <alignment vertical="top"/>
      <protection/>
    </xf>
    <xf numFmtId="0" fontId="10" fillId="0" borderId="57" xfId="21" applyFont="1" applyFill="1" applyBorder="1" applyAlignment="1">
      <alignment vertical="top"/>
      <protection/>
    </xf>
    <xf numFmtId="0" fontId="20" fillId="0" borderId="29" xfId="21" applyFont="1" applyFill="1" applyBorder="1" applyAlignment="1">
      <alignment vertical="top"/>
      <protection/>
    </xf>
    <xf numFmtId="3" fontId="10" fillId="0" borderId="50" xfId="21" applyNumberFormat="1" applyFont="1" applyFill="1" applyBorder="1" applyAlignment="1">
      <alignment vertical="top"/>
      <protection/>
    </xf>
    <xf numFmtId="0" fontId="10" fillId="0" borderId="0" xfId="21" applyFont="1" applyFill="1" applyBorder="1" applyAlignment="1">
      <alignment horizontal="center" vertical="top"/>
      <protection/>
    </xf>
    <xf numFmtId="0" fontId="10" fillId="0" borderId="0" xfId="21" applyFont="1" applyFill="1" applyBorder="1" applyAlignment="1">
      <alignment vertical="top" wrapText="1"/>
      <protection/>
    </xf>
    <xf numFmtId="49" fontId="10" fillId="0" borderId="0" xfId="21" applyNumberFormat="1" applyFont="1" applyFill="1" applyBorder="1" applyAlignment="1">
      <alignment horizontal="center" vertical="top" shrinkToFit="1"/>
      <protection/>
    </xf>
    <xf numFmtId="166" fontId="10" fillId="0" borderId="57" xfId="21" applyNumberFormat="1" applyFont="1" applyFill="1" applyBorder="1" applyAlignment="1">
      <alignment vertical="top" wrapText="1"/>
      <protection/>
    </xf>
    <xf numFmtId="166" fontId="10" fillId="0" borderId="13" xfId="21" applyNumberFormat="1" applyFont="1" applyFill="1" applyBorder="1" applyAlignment="1">
      <alignment vertical="top" wrapText="1"/>
      <protection/>
    </xf>
    <xf numFmtId="166" fontId="10" fillId="0" borderId="29" xfId="21" applyNumberFormat="1" applyFont="1" applyFill="1" applyBorder="1" applyAlignment="1">
      <alignment vertical="top" wrapText="1"/>
      <protection/>
    </xf>
    <xf numFmtId="0" fontId="10" fillId="0" borderId="12" xfId="0" applyFont="1" applyFill="1" applyBorder="1" applyAlignment="1">
      <alignment vertical="top"/>
    </xf>
    <xf numFmtId="0" fontId="21" fillId="0" borderId="12" xfId="21" applyFont="1" applyFill="1" applyBorder="1" applyAlignment="1">
      <alignment vertical="top" wrapText="1"/>
      <protection/>
    </xf>
    <xf numFmtId="49" fontId="24" fillId="0" borderId="12" xfId="21" applyNumberFormat="1" applyFont="1" applyFill="1" applyBorder="1" applyAlignment="1">
      <alignment horizontal="center" vertical="top" shrinkToFit="1"/>
      <protection/>
    </xf>
    <xf numFmtId="4" fontId="24" fillId="0" borderId="12" xfId="21" applyNumberFormat="1" applyFont="1" applyFill="1" applyBorder="1" applyAlignment="1">
      <alignment horizontal="right" vertical="top"/>
      <protection/>
    </xf>
    <xf numFmtId="0" fontId="26" fillId="0" borderId="0" xfId="0" applyFont="1"/>
    <xf numFmtId="0" fontId="10" fillId="0" borderId="0" xfId="21" applyFont="1" applyFill="1" applyAlignment="1">
      <alignment horizontal="center" vertical="top"/>
      <protection/>
    </xf>
    <xf numFmtId="49" fontId="10" fillId="0" borderId="12" xfId="21" applyNumberFormat="1" applyFont="1" applyFill="1" applyBorder="1" applyAlignment="1">
      <alignment horizontal="center" vertical="top"/>
      <protection/>
    </xf>
    <xf numFmtId="49" fontId="21" fillId="0" borderId="12" xfId="21" applyNumberFormat="1" applyFont="1" applyFill="1" applyBorder="1" applyAlignment="1">
      <alignment horizontal="center" vertical="top"/>
      <protection/>
    </xf>
    <xf numFmtId="49" fontId="21" fillId="0" borderId="53" xfId="21" applyNumberFormat="1" applyFont="1" applyFill="1" applyBorder="1" applyAlignment="1">
      <alignment horizontal="center" vertical="top"/>
      <protection/>
    </xf>
    <xf numFmtId="49" fontId="10" fillId="0" borderId="53" xfId="21" applyNumberFormat="1" applyFont="1" applyFill="1" applyBorder="1" applyAlignment="1">
      <alignment horizontal="center" vertical="top"/>
      <protection/>
    </xf>
    <xf numFmtId="49" fontId="10" fillId="0" borderId="7" xfId="21" applyNumberFormat="1" applyFont="1" applyFill="1" applyBorder="1" applyAlignment="1">
      <alignment horizontal="center" vertical="top"/>
      <protection/>
    </xf>
    <xf numFmtId="0" fontId="10" fillId="0" borderId="58" xfId="21" applyFont="1" applyFill="1" applyBorder="1" applyAlignment="1">
      <alignment vertical="top" wrapText="1"/>
      <protection/>
    </xf>
    <xf numFmtId="4" fontId="10" fillId="0" borderId="58" xfId="21" applyNumberFormat="1" applyFont="1" applyFill="1" applyBorder="1" applyAlignment="1">
      <alignment vertical="top" wrapText="1"/>
      <protection/>
    </xf>
    <xf numFmtId="3" fontId="10" fillId="0" borderId="58" xfId="21" applyNumberFormat="1" applyFont="1" applyFill="1" applyBorder="1" applyAlignment="1">
      <alignment vertical="top" wrapText="1"/>
      <protection/>
    </xf>
    <xf numFmtId="3" fontId="10" fillId="0" borderId="58" xfId="21" applyNumberFormat="1" applyFont="1" applyFill="1" applyBorder="1" applyAlignment="1">
      <alignment horizontal="right" vertical="top" wrapText="1"/>
      <protection/>
    </xf>
    <xf numFmtId="3" fontId="10" fillId="0" borderId="59" xfId="21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0" fontId="27" fillId="0" borderId="0" xfId="0" applyFont="1" applyBorder="1"/>
    <xf numFmtId="0" fontId="0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3" fontId="1" fillId="0" borderId="14" xfId="0" applyNumberFormat="1" applyFont="1" applyBorder="1"/>
    <xf numFmtId="3" fontId="3" fillId="2" borderId="45" xfId="0" applyNumberFormat="1" applyFont="1" applyFill="1" applyBorder="1"/>
    <xf numFmtId="1" fontId="10" fillId="0" borderId="58" xfId="21" applyNumberFormat="1" applyFont="1" applyFill="1" applyBorder="1" applyAlignment="1">
      <alignment horizontal="center" vertical="top" wrapText="1"/>
      <protection/>
    </xf>
    <xf numFmtId="1" fontId="20" fillId="0" borderId="55" xfId="21" applyNumberFormat="1" applyFont="1" applyFill="1" applyBorder="1" applyAlignment="1">
      <alignment horizontal="center"/>
      <protection/>
    </xf>
    <xf numFmtId="1" fontId="20" fillId="0" borderId="12" xfId="21" applyNumberFormat="1" applyFont="1" applyFill="1" applyBorder="1" applyAlignment="1">
      <alignment horizontal="center" vertical="top"/>
      <protection/>
    </xf>
    <xf numFmtId="1" fontId="10" fillId="0" borderId="12" xfId="21" applyNumberFormat="1" applyFont="1" applyFill="1" applyBorder="1" applyAlignment="1">
      <alignment horizontal="center" vertical="top"/>
      <protection/>
    </xf>
    <xf numFmtId="1" fontId="24" fillId="0" borderId="12" xfId="21" applyNumberFormat="1" applyFont="1" applyFill="1" applyBorder="1" applyAlignment="1">
      <alignment horizontal="center" vertical="top"/>
      <protection/>
    </xf>
    <xf numFmtId="1" fontId="28" fillId="0" borderId="12" xfId="21" applyNumberFormat="1" applyFont="1" applyFill="1" applyBorder="1" applyAlignment="1">
      <alignment horizontal="center" vertical="top"/>
      <protection/>
    </xf>
    <xf numFmtId="1" fontId="20" fillId="0" borderId="53" xfId="21" applyNumberFormat="1" applyFont="1" applyFill="1" applyBorder="1" applyAlignment="1">
      <alignment horizontal="center" vertical="top"/>
      <protection/>
    </xf>
    <xf numFmtId="1" fontId="10" fillId="0" borderId="53" xfId="21" applyNumberFormat="1" applyFont="1" applyFill="1" applyBorder="1" applyAlignment="1">
      <alignment horizontal="center" vertical="top"/>
      <protection/>
    </xf>
    <xf numFmtId="1" fontId="10" fillId="0" borderId="55" xfId="21" applyNumberFormat="1" applyFont="1" applyFill="1" applyBorder="1" applyAlignment="1">
      <alignment horizontal="center" vertical="top"/>
      <protection/>
    </xf>
    <xf numFmtId="1" fontId="10" fillId="0" borderId="56" xfId="21" applyNumberFormat="1" applyFont="1" applyFill="1" applyBorder="1" applyAlignment="1">
      <alignment horizontal="center" vertical="top"/>
      <protection/>
    </xf>
    <xf numFmtId="1" fontId="4" fillId="0" borderId="28" xfId="0" applyNumberFormat="1" applyFont="1" applyBorder="1"/>
    <xf numFmtId="166" fontId="10" fillId="0" borderId="55" xfId="21" applyNumberFormat="1" applyFont="1" applyFill="1" applyBorder="1" applyAlignment="1">
      <alignment vertical="top"/>
      <protection/>
    </xf>
    <xf numFmtId="166" fontId="20" fillId="0" borderId="55" xfId="21" applyNumberFormat="1" applyFont="1" applyFill="1" applyBorder="1" applyAlignment="1">
      <alignment vertical="top" wrapText="1"/>
      <protection/>
    </xf>
    <xf numFmtId="166" fontId="10" fillId="0" borderId="12" xfId="21" applyNumberFormat="1" applyFont="1" applyFill="1" applyBorder="1" applyAlignment="1">
      <alignment vertical="top"/>
      <protection/>
    </xf>
    <xf numFmtId="166" fontId="20" fillId="0" borderId="12" xfId="21" applyNumberFormat="1" applyFont="1" applyFill="1" applyBorder="1" applyAlignment="1">
      <alignment vertical="top" wrapText="1"/>
      <protection/>
    </xf>
    <xf numFmtId="166" fontId="10" fillId="0" borderId="12" xfId="21" applyNumberFormat="1" applyFont="1" applyFill="1" applyBorder="1" applyAlignment="1">
      <alignment vertical="top" wrapText="1"/>
      <protection/>
    </xf>
    <xf numFmtId="166" fontId="24" fillId="0" borderId="12" xfId="21" applyNumberFormat="1" applyFont="1" applyFill="1" applyBorder="1" applyAlignment="1">
      <alignment vertical="top"/>
      <protection/>
    </xf>
    <xf numFmtId="166" fontId="24" fillId="0" borderId="12" xfId="21" applyNumberFormat="1" applyFont="1" applyFill="1" applyBorder="1" applyAlignment="1">
      <alignment vertical="top" wrapText="1"/>
      <protection/>
    </xf>
    <xf numFmtId="166" fontId="24" fillId="0" borderId="13" xfId="21" applyNumberFormat="1" applyFont="1" applyFill="1" applyBorder="1" applyAlignment="1">
      <alignment vertical="top"/>
      <protection/>
    </xf>
    <xf numFmtId="166" fontId="10" fillId="0" borderId="53" xfId="21" applyNumberFormat="1" applyFont="1" applyFill="1" applyBorder="1" applyAlignment="1">
      <alignment vertical="top"/>
      <protection/>
    </xf>
    <xf numFmtId="166" fontId="20" fillId="0" borderId="60" xfId="21" applyNumberFormat="1" applyFont="1" applyFill="1" applyBorder="1" applyAlignment="1">
      <alignment vertical="top" wrapText="1"/>
      <protection/>
    </xf>
    <xf numFmtId="166" fontId="10" fillId="0" borderId="61" xfId="21" applyNumberFormat="1" applyFont="1" applyFill="1" applyBorder="1" applyAlignment="1">
      <alignment vertical="top" wrapText="1"/>
      <protection/>
    </xf>
    <xf numFmtId="166" fontId="10" fillId="0" borderId="56" xfId="21" applyNumberFormat="1" applyFont="1" applyFill="1" applyBorder="1" applyAlignment="1">
      <alignment vertical="top"/>
      <protection/>
    </xf>
    <xf numFmtId="3" fontId="10" fillId="0" borderId="0" xfId="21" applyNumberFormat="1" applyFont="1" applyFill="1" applyBorder="1" applyAlignment="1">
      <alignment horizontal="center" vertical="top"/>
      <protection/>
    </xf>
    <xf numFmtId="0" fontId="10" fillId="0" borderId="0" xfId="21" applyFont="1" applyFill="1" applyBorder="1" applyAlignment="1">
      <alignment horizontal="right" vertical="top"/>
      <protection/>
    </xf>
    <xf numFmtId="3" fontId="10" fillId="0" borderId="0" xfId="21" applyNumberFormat="1" applyFont="1" applyFill="1" applyBorder="1" applyAlignment="1">
      <alignment horizontal="right" vertical="top"/>
      <protection/>
    </xf>
    <xf numFmtId="168" fontId="10" fillId="0" borderId="12" xfId="0" applyNumberFormat="1" applyFont="1" applyFill="1" applyBorder="1" applyAlignment="1">
      <alignment horizontal="right" vertical="top"/>
    </xf>
    <xf numFmtId="168" fontId="24" fillId="0" borderId="12" xfId="0" applyNumberFormat="1" applyFont="1" applyFill="1" applyBorder="1" applyAlignment="1">
      <alignment horizontal="right" vertical="top"/>
    </xf>
    <xf numFmtId="0" fontId="20" fillId="0" borderId="12" xfId="21" applyFont="1" applyFill="1" applyBorder="1" applyAlignment="1">
      <alignment horizontal="right" vertical="top"/>
      <protection/>
    </xf>
    <xf numFmtId="2" fontId="10" fillId="0" borderId="12" xfId="0" applyNumberFormat="1" applyFont="1" applyFill="1" applyBorder="1" applyAlignment="1">
      <alignment horizontal="right" vertical="top"/>
    </xf>
    <xf numFmtId="2" fontId="20" fillId="0" borderId="12" xfId="21" applyNumberFormat="1" applyFont="1" applyFill="1" applyBorder="1" applyAlignment="1">
      <alignment horizontal="right" vertical="top"/>
      <protection/>
    </xf>
    <xf numFmtId="166" fontId="10" fillId="0" borderId="57" xfId="21" applyNumberFormat="1" applyFont="1" applyFill="1" applyBorder="1" applyAlignment="1">
      <alignment horizontal="right" vertical="top"/>
      <protection/>
    </xf>
    <xf numFmtId="166" fontId="10" fillId="0" borderId="13" xfId="21" applyNumberFormat="1" applyFont="1" applyFill="1" applyBorder="1" applyAlignment="1">
      <alignment horizontal="right" vertical="top"/>
      <protection/>
    </xf>
    <xf numFmtId="166" fontId="24" fillId="0" borderId="13" xfId="21" applyNumberFormat="1" applyFont="1" applyFill="1" applyBorder="1" applyAlignment="1">
      <alignment horizontal="right" vertical="top"/>
      <protection/>
    </xf>
    <xf numFmtId="166" fontId="10" fillId="0" borderId="61" xfId="21" applyNumberFormat="1" applyFont="1" applyFill="1" applyBorder="1" applyAlignment="1">
      <alignment horizontal="right" vertical="top"/>
      <protection/>
    </xf>
    <xf numFmtId="166" fontId="10" fillId="0" borderId="29" xfId="21" applyNumberFormat="1" applyFont="1" applyFill="1" applyBorder="1" applyAlignment="1">
      <alignment horizontal="right" vertical="top"/>
      <protection/>
    </xf>
    <xf numFmtId="0" fontId="10" fillId="0" borderId="0" xfId="21" applyFont="1" applyFill="1" applyBorder="1" applyAlignment="1">
      <alignment horizontal="left" vertical="top" shrinkToFit="1"/>
      <protection/>
    </xf>
    <xf numFmtId="3" fontId="20" fillId="0" borderId="0" xfId="21" applyNumberFormat="1" applyFont="1" applyFill="1" applyBorder="1" applyAlignment="1">
      <alignment vertical="top"/>
      <protection/>
    </xf>
    <xf numFmtId="168" fontId="10" fillId="0" borderId="53" xfId="0" applyNumberFormat="1" applyFont="1" applyFill="1" applyBorder="1" applyAlignment="1">
      <alignment horizontal="right" vertical="top"/>
    </xf>
    <xf numFmtId="168" fontId="10" fillId="0" borderId="7" xfId="0" applyNumberFormat="1" applyFont="1" applyFill="1" applyBorder="1" applyAlignment="1">
      <alignment horizontal="right" vertical="top"/>
    </xf>
    <xf numFmtId="168" fontId="10" fillId="0" borderId="46" xfId="0" applyNumberFormat="1" applyFont="1" applyFill="1" applyBorder="1" applyAlignment="1">
      <alignment horizontal="right" vertical="top"/>
    </xf>
    <xf numFmtId="0" fontId="20" fillId="0" borderId="54" xfId="21" applyNumberFormat="1" applyFont="1" applyFill="1" applyBorder="1" applyAlignment="1">
      <alignment horizontal="center" vertical="top"/>
      <protection/>
    </xf>
    <xf numFmtId="0" fontId="20" fillId="0" borderId="62" xfId="21" applyNumberFormat="1" applyFont="1" applyFill="1" applyBorder="1" applyAlignment="1">
      <alignment horizontal="center" vertical="top"/>
      <protection/>
    </xf>
    <xf numFmtId="0" fontId="20" fillId="0" borderId="63" xfId="21" applyFont="1" applyFill="1" applyBorder="1" applyAlignment="1">
      <alignment vertical="top"/>
      <protection/>
    </xf>
    <xf numFmtId="0" fontId="10" fillId="0" borderId="63" xfId="21" applyFont="1" applyFill="1" applyBorder="1" applyAlignment="1">
      <alignment horizontal="center" vertical="top"/>
      <protection/>
    </xf>
    <xf numFmtId="4" fontId="10" fillId="0" borderId="63" xfId="21" applyNumberFormat="1" applyFont="1" applyFill="1" applyBorder="1" applyAlignment="1">
      <alignment horizontal="right" vertical="top"/>
      <protection/>
    </xf>
    <xf numFmtId="3" fontId="10" fillId="0" borderId="63" xfId="21" applyNumberFormat="1" applyFont="1" applyFill="1" applyBorder="1" applyAlignment="1">
      <alignment vertical="top"/>
      <protection/>
    </xf>
    <xf numFmtId="168" fontId="10" fillId="0" borderId="63" xfId="0" applyNumberFormat="1" applyFont="1" applyFill="1" applyBorder="1" applyAlignment="1">
      <alignment horizontal="right" vertical="top"/>
    </xf>
    <xf numFmtId="49" fontId="10" fillId="0" borderId="54" xfId="21" applyNumberFormat="1" applyFont="1" applyFill="1" applyBorder="1" applyAlignment="1">
      <alignment horizontal="center" vertical="top"/>
      <protection/>
    </xf>
    <xf numFmtId="0" fontId="20" fillId="0" borderId="53" xfId="21" applyFont="1" applyFill="1" applyBorder="1" applyAlignment="1">
      <alignment horizontal="right" vertical="top"/>
      <protection/>
    </xf>
    <xf numFmtId="49" fontId="20" fillId="0" borderId="54" xfId="21" applyNumberFormat="1" applyFont="1" applyFill="1" applyBorder="1" applyAlignment="1">
      <alignment horizontal="center" vertical="top"/>
      <protection/>
    </xf>
    <xf numFmtId="2" fontId="10" fillId="0" borderId="7" xfId="0" applyNumberFormat="1" applyFont="1" applyFill="1" applyBorder="1" applyAlignment="1">
      <alignment horizontal="right" vertical="top"/>
    </xf>
    <xf numFmtId="2" fontId="10" fillId="0" borderId="46" xfId="0" applyNumberFormat="1" applyFont="1" applyFill="1" applyBorder="1" applyAlignment="1">
      <alignment horizontal="right" vertical="top"/>
    </xf>
    <xf numFmtId="2" fontId="10" fillId="0" borderId="53" xfId="0" applyNumberFormat="1" applyFont="1" applyFill="1" applyBorder="1" applyAlignment="1">
      <alignment horizontal="right" vertical="top"/>
    </xf>
    <xf numFmtId="0" fontId="10" fillId="0" borderId="46" xfId="21" applyFont="1" applyFill="1" applyBorder="1" applyAlignment="1">
      <alignment vertical="top" wrapText="1"/>
      <protection/>
    </xf>
    <xf numFmtId="0" fontId="20" fillId="0" borderId="55" xfId="21" applyFont="1" applyFill="1" applyBorder="1" applyAlignment="1">
      <alignment vertical="top" wrapText="1"/>
      <protection/>
    </xf>
    <xf numFmtId="49" fontId="10" fillId="0" borderId="55" xfId="21" applyNumberFormat="1" applyFont="1" applyFill="1" applyBorder="1" applyAlignment="1">
      <alignment horizontal="center" vertical="top" shrinkToFit="1"/>
      <protection/>
    </xf>
    <xf numFmtId="0" fontId="20" fillId="0" borderId="56" xfId="21" applyFont="1" applyFill="1" applyBorder="1" applyAlignment="1">
      <alignment vertical="top" wrapText="1"/>
      <protection/>
    </xf>
    <xf numFmtId="49" fontId="10" fillId="0" borderId="56" xfId="21" applyNumberFormat="1" applyFont="1" applyFill="1" applyBorder="1" applyAlignment="1">
      <alignment horizontal="center" vertical="top" shrinkToFit="1"/>
      <protection/>
    </xf>
    <xf numFmtId="49" fontId="10" fillId="0" borderId="55" xfId="21" applyNumberFormat="1" applyFont="1" applyFill="1" applyBorder="1" applyAlignment="1">
      <alignment horizontal="center" vertical="top"/>
      <protection/>
    </xf>
    <xf numFmtId="49" fontId="10" fillId="0" borderId="56" xfId="21" applyNumberFormat="1" applyFont="1" applyFill="1" applyBorder="1" applyAlignment="1">
      <alignment horizontal="center" vertical="top"/>
      <protection/>
    </xf>
    <xf numFmtId="49" fontId="10" fillId="0" borderId="0" xfId="21" applyNumberFormat="1" applyFont="1" applyFill="1" applyBorder="1" applyAlignment="1">
      <alignment horizontal="center" vertical="top"/>
      <protection/>
    </xf>
    <xf numFmtId="168" fontId="10" fillId="0" borderId="0" xfId="0" applyNumberFormat="1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horizontal="center" vertical="top" wrapText="1"/>
    </xf>
    <xf numFmtId="0" fontId="10" fillId="0" borderId="54" xfId="21" applyFont="1" applyFill="1" applyBorder="1" applyAlignment="1">
      <alignment horizontal="center" vertical="top" wrapText="1"/>
      <protection/>
    </xf>
    <xf numFmtId="0" fontId="10" fillId="0" borderId="46" xfId="21" applyFont="1" applyFill="1" applyBorder="1" applyAlignment="1">
      <alignment horizontal="left" vertical="top" wrapText="1"/>
      <protection/>
    </xf>
    <xf numFmtId="0" fontId="10" fillId="0" borderId="46" xfId="21" applyFont="1" applyFill="1" applyBorder="1" applyAlignment="1">
      <alignment horizontal="center" vertical="top" wrapText="1"/>
      <protection/>
    </xf>
    <xf numFmtId="4" fontId="10" fillId="0" borderId="46" xfId="21" applyNumberFormat="1" applyFont="1" applyFill="1" applyBorder="1" applyAlignment="1">
      <alignment horizontal="center" vertical="top" wrapText="1"/>
      <protection/>
    </xf>
    <xf numFmtId="3" fontId="10" fillId="0" borderId="46" xfId="21" applyNumberFormat="1" applyFont="1" applyFill="1" applyBorder="1" applyAlignment="1">
      <alignment horizontal="center" vertical="top" wrapText="1"/>
      <protection/>
    </xf>
    <xf numFmtId="0" fontId="10" fillId="0" borderId="47" xfId="21" applyFont="1" applyFill="1" applyBorder="1" applyAlignment="1">
      <alignment vertical="top" wrapText="1"/>
      <protection/>
    </xf>
    <xf numFmtId="49" fontId="20" fillId="0" borderId="62" xfId="21" applyNumberFormat="1" applyFont="1" applyFill="1" applyBorder="1" applyAlignment="1">
      <alignment horizontal="center" vertical="top"/>
      <protection/>
    </xf>
    <xf numFmtId="49" fontId="20" fillId="0" borderId="21" xfId="21" applyNumberFormat="1" applyFont="1" applyFill="1" applyBorder="1" applyAlignment="1">
      <alignment horizontal="center" vertical="top"/>
      <protection/>
    </xf>
    <xf numFmtId="0" fontId="20" fillId="0" borderId="22" xfId="21" applyFont="1" applyFill="1" applyBorder="1" applyAlignment="1">
      <alignment vertical="top"/>
      <protection/>
    </xf>
    <xf numFmtId="0" fontId="10" fillId="0" borderId="22" xfId="21" applyFont="1" applyFill="1" applyBorder="1" applyAlignment="1">
      <alignment horizontal="center" vertical="top"/>
      <protection/>
    </xf>
    <xf numFmtId="4" fontId="10" fillId="0" borderId="22" xfId="21" applyNumberFormat="1" applyFont="1" applyFill="1" applyBorder="1" applyAlignment="1">
      <alignment horizontal="right" vertical="top"/>
      <protection/>
    </xf>
    <xf numFmtId="3" fontId="10" fillId="0" borderId="23" xfId="21" applyNumberFormat="1" applyFont="1" applyFill="1" applyBorder="1" applyAlignment="1">
      <alignment vertical="top"/>
      <protection/>
    </xf>
    <xf numFmtId="0" fontId="10" fillId="0" borderId="54" xfId="21" applyFont="1" applyFill="1" applyBorder="1" applyAlignment="1">
      <alignment vertical="top" wrapText="1"/>
      <protection/>
    </xf>
    <xf numFmtId="3" fontId="10" fillId="0" borderId="45" xfId="21" applyNumberFormat="1" applyFont="1" applyFill="1" applyBorder="1" applyAlignment="1">
      <alignment vertical="top"/>
      <protection/>
    </xf>
    <xf numFmtId="0" fontId="23" fillId="0" borderId="46" xfId="0" applyFont="1" applyBorder="1" applyAlignment="1">
      <alignment horizontal="right"/>
    </xf>
    <xf numFmtId="0" fontId="23" fillId="0" borderId="47" xfId="0" applyFont="1" applyBorder="1" applyAlignment="1">
      <alignment horizontal="right"/>
    </xf>
    <xf numFmtId="0" fontId="23" fillId="0" borderId="26" xfId="0" applyFont="1" applyBorder="1"/>
    <xf numFmtId="165" fontId="23" fillId="0" borderId="7" xfId="0" applyNumberFormat="1" applyFont="1" applyBorder="1"/>
    <xf numFmtId="0" fontId="23" fillId="0" borderId="8" xfId="0" applyFont="1" applyBorder="1"/>
    <xf numFmtId="0" fontId="23" fillId="0" borderId="15" xfId="0" applyFont="1" applyBorder="1"/>
    <xf numFmtId="165" fontId="23" fillId="0" borderId="12" xfId="0" applyNumberFormat="1" applyFont="1" applyBorder="1"/>
    <xf numFmtId="0" fontId="23" fillId="0" borderId="13" xfId="0" applyFont="1" applyBorder="1"/>
    <xf numFmtId="0" fontId="23" fillId="0" borderId="64" xfId="0" applyFont="1" applyBorder="1"/>
    <xf numFmtId="0" fontId="23" fillId="0" borderId="56" xfId="0" applyFont="1" applyBorder="1"/>
    <xf numFmtId="0" fontId="23" fillId="0" borderId="29" xfId="0" applyFont="1" applyBorder="1"/>
    <xf numFmtId="0" fontId="31" fillId="0" borderId="11" xfId="0" applyFont="1" applyFill="1" applyBorder="1" applyAlignment="1">
      <alignment horizontal="right"/>
    </xf>
    <xf numFmtId="4" fontId="10" fillId="0" borderId="4" xfId="21" applyNumberFormat="1" applyFont="1" applyFill="1" applyBorder="1" applyAlignment="1">
      <alignment horizontal="right" vertical="top"/>
      <protection/>
    </xf>
    <xf numFmtId="4" fontId="10" fillId="0" borderId="6" xfId="21" applyNumberFormat="1" applyFont="1" applyFill="1" applyBorder="1" applyAlignment="1">
      <alignment horizontal="right" vertical="top"/>
      <protection/>
    </xf>
    <xf numFmtId="0" fontId="31" fillId="0" borderId="6" xfId="0" applyFont="1" applyFill="1" applyBorder="1" applyAlignment="1">
      <alignment horizontal="right"/>
    </xf>
    <xf numFmtId="0" fontId="31" fillId="0" borderId="31" xfId="0" applyFont="1" applyFill="1" applyBorder="1" applyAlignment="1">
      <alignment horizontal="right"/>
    </xf>
    <xf numFmtId="3" fontId="10" fillId="0" borderId="45" xfId="21" applyNumberFormat="1" applyFont="1" applyFill="1" applyBorder="1" applyAlignment="1">
      <alignment vertical="top" wrapText="1"/>
      <protection/>
    </xf>
    <xf numFmtId="0" fontId="0" fillId="0" borderId="0" xfId="0" applyFont="1" applyBorder="1"/>
    <xf numFmtId="3" fontId="10" fillId="0" borderId="47" xfId="21" applyNumberFormat="1" applyFont="1" applyFill="1" applyBorder="1" applyAlignment="1">
      <alignment vertical="top"/>
      <protection/>
    </xf>
    <xf numFmtId="3" fontId="20" fillId="0" borderId="5" xfId="21" applyNumberFormat="1" applyFont="1" applyFill="1" applyBorder="1" applyAlignment="1">
      <alignment vertical="top"/>
      <protection/>
    </xf>
    <xf numFmtId="3" fontId="20" fillId="0" borderId="55" xfId="21" applyNumberFormat="1" applyFont="1" applyFill="1" applyBorder="1" applyAlignment="1">
      <alignment vertical="top"/>
      <protection/>
    </xf>
    <xf numFmtId="3" fontId="20" fillId="0" borderId="57" xfId="21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 horizontal="center"/>
    </xf>
    <xf numFmtId="0" fontId="0" fillId="0" borderId="9" xfId="0" applyFont="1" applyBorder="1"/>
    <xf numFmtId="0" fontId="0" fillId="0" borderId="11" xfId="0" applyFont="1" applyBorder="1"/>
    <xf numFmtId="3" fontId="20" fillId="0" borderId="10" xfId="21" applyNumberFormat="1" applyFont="1" applyFill="1" applyBorder="1" applyAlignment="1">
      <alignment vertical="top"/>
      <protection/>
    </xf>
    <xf numFmtId="0" fontId="0" fillId="0" borderId="36" xfId="0" applyFont="1" applyBorder="1"/>
    <xf numFmtId="0" fontId="0" fillId="0" borderId="0" xfId="0" applyFont="1" applyAlignment="1">
      <alignment horizontal="center"/>
    </xf>
    <xf numFmtId="3" fontId="20" fillId="0" borderId="41" xfId="21" applyNumberFormat="1" applyFont="1" applyFill="1" applyBorder="1" applyAlignment="1">
      <alignment vertical="top"/>
      <protection/>
    </xf>
    <xf numFmtId="0" fontId="0" fillId="0" borderId="30" xfId="0" applyFont="1" applyBorder="1"/>
    <xf numFmtId="0" fontId="0" fillId="0" borderId="31" xfId="0" applyFont="1" applyBorder="1"/>
    <xf numFmtId="3" fontId="20" fillId="0" borderId="32" xfId="21" applyNumberFormat="1" applyFont="1" applyFill="1" applyBorder="1" applyAlignment="1">
      <alignment vertical="top"/>
      <protection/>
    </xf>
    <xf numFmtId="3" fontId="20" fillId="0" borderId="56" xfId="21" applyNumberFormat="1" applyFont="1" applyFill="1" applyBorder="1" applyAlignment="1">
      <alignment vertical="top"/>
      <protection/>
    </xf>
    <xf numFmtId="0" fontId="0" fillId="0" borderId="65" xfId="0" applyFont="1" applyBorder="1"/>
    <xf numFmtId="0" fontId="0" fillId="0" borderId="0" xfId="0" applyFont="1" applyFill="1"/>
    <xf numFmtId="0" fontId="23" fillId="0" borderId="66" xfId="0" applyFont="1" applyBorder="1"/>
    <xf numFmtId="165" fontId="23" fillId="0" borderId="53" xfId="0" applyNumberFormat="1" applyFont="1" applyBorder="1"/>
    <xf numFmtId="0" fontId="23" fillId="0" borderId="61" xfId="0" applyFont="1" applyBorder="1"/>
    <xf numFmtId="0" fontId="23" fillId="0" borderId="48" xfId="0" applyFont="1" applyBorder="1"/>
    <xf numFmtId="165" fontId="23" fillId="0" borderId="55" xfId="0" applyNumberFormat="1" applyFont="1" applyBorder="1"/>
    <xf numFmtId="0" fontId="23" fillId="0" borderId="57" xfId="0" applyFont="1" applyBorder="1"/>
    <xf numFmtId="3" fontId="10" fillId="0" borderId="52" xfId="21" applyNumberFormat="1" applyFont="1" applyFill="1" applyBorder="1" applyAlignment="1">
      <alignment vertical="top"/>
      <protection/>
    </xf>
    <xf numFmtId="0" fontId="10" fillId="0" borderId="67" xfId="21" applyFont="1" applyFill="1" applyBorder="1" applyAlignment="1">
      <alignment horizontal="center" vertical="top"/>
      <protection/>
    </xf>
    <xf numFmtId="168" fontId="22" fillId="0" borderId="52" xfId="22" applyFont="1" applyFill="1" applyBorder="1" applyAlignment="1">
      <alignment horizontal="right" vertical="top"/>
      <protection/>
    </xf>
    <xf numFmtId="168" fontId="22" fillId="0" borderId="43" xfId="22" applyFont="1" applyFill="1" applyBorder="1" applyAlignment="1">
      <alignment horizontal="right" vertical="top"/>
      <protection/>
    </xf>
    <xf numFmtId="0" fontId="10" fillId="0" borderId="68" xfId="21" applyFont="1" applyFill="1" applyBorder="1" applyAlignment="1">
      <alignment horizontal="center" vertical="top"/>
      <protection/>
    </xf>
    <xf numFmtId="168" fontId="22" fillId="0" borderId="44" xfId="22" applyFont="1" applyFill="1" applyBorder="1" applyAlignment="1">
      <alignment horizontal="right" vertical="top"/>
      <protection/>
    </xf>
    <xf numFmtId="168" fontId="22" fillId="0" borderId="69" xfId="22" applyFont="1" applyFill="1" applyBorder="1" applyAlignment="1">
      <alignment horizontal="right" vertical="top"/>
      <protection/>
    </xf>
    <xf numFmtId="0" fontId="10" fillId="0" borderId="0" xfId="21" applyFont="1" applyFill="1" applyBorder="1" applyAlignment="1">
      <alignment horizontal="right" vertical="top" wrapText="1"/>
      <protection/>
    </xf>
    <xf numFmtId="3" fontId="10" fillId="0" borderId="65" xfId="21" applyNumberFormat="1" applyFont="1" applyFill="1" applyBorder="1" applyAlignment="1">
      <alignment vertical="top"/>
      <protection/>
    </xf>
    <xf numFmtId="0" fontId="0" fillId="0" borderId="0" xfId="0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32" fillId="0" borderId="12" xfId="0" applyFont="1" applyFill="1" applyBorder="1"/>
    <xf numFmtId="0" fontId="10" fillId="0" borderId="7" xfId="0" applyFont="1" applyFill="1" applyBorder="1"/>
    <xf numFmtId="0" fontId="20" fillId="0" borderId="12" xfId="0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12" xfId="0" applyFont="1" applyFill="1" applyBorder="1" applyAlignment="1">
      <alignment horizontal="center" vertical="top"/>
    </xf>
    <xf numFmtId="4" fontId="10" fillId="0" borderId="7" xfId="21" applyNumberFormat="1" applyFont="1" applyFill="1" applyBorder="1" applyAlignment="1">
      <alignment vertical="top"/>
      <protection/>
    </xf>
    <xf numFmtId="0" fontId="26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3" fontId="24" fillId="0" borderId="59" xfId="21" applyNumberFormat="1" applyFont="1" applyFill="1" applyBorder="1" applyAlignment="1">
      <alignment horizontal="right" vertical="top" wrapText="1"/>
      <protection/>
    </xf>
    <xf numFmtId="166" fontId="24" fillId="0" borderId="57" xfId="21" applyNumberFormat="1" applyFont="1" applyFill="1" applyBorder="1" applyAlignment="1">
      <alignment vertical="top"/>
      <protection/>
    </xf>
    <xf numFmtId="166" fontId="21" fillId="0" borderId="13" xfId="21" applyNumberFormat="1" applyFont="1" applyFill="1" applyBorder="1" applyAlignment="1">
      <alignment vertical="top"/>
      <protection/>
    </xf>
    <xf numFmtId="166" fontId="24" fillId="0" borderId="61" xfId="21" applyNumberFormat="1" applyFont="1" applyFill="1" applyBorder="1" applyAlignment="1">
      <alignment vertical="top"/>
      <protection/>
    </xf>
    <xf numFmtId="166" fontId="24" fillId="0" borderId="29" xfId="21" applyNumberFormat="1" applyFont="1" applyFill="1" applyBorder="1" applyAlignment="1">
      <alignment vertical="top"/>
      <protection/>
    </xf>
    <xf numFmtId="0" fontId="24" fillId="0" borderId="0" xfId="21" applyFont="1" applyFill="1" applyBorder="1" applyAlignment="1">
      <alignment vertical="top" wrapText="1"/>
      <protection/>
    </xf>
    <xf numFmtId="0" fontId="24" fillId="0" borderId="0" xfId="21" applyFont="1" applyFill="1" applyAlignment="1">
      <alignment vertical="top" wrapText="1"/>
      <protection/>
    </xf>
    <xf numFmtId="0" fontId="21" fillId="0" borderId="0" xfId="21" applyFont="1" applyFill="1" applyAlignment="1">
      <alignment vertical="top" wrapText="1"/>
      <protection/>
    </xf>
    <xf numFmtId="0" fontId="21" fillId="0" borderId="0" xfId="21" applyFont="1" applyFill="1" applyBorder="1" applyAlignment="1">
      <alignment vertical="top" wrapText="1"/>
      <protection/>
    </xf>
    <xf numFmtId="166" fontId="24" fillId="0" borderId="0" xfId="21" applyNumberFormat="1" applyFont="1" applyFill="1" applyAlignment="1">
      <alignment vertical="top" wrapText="1"/>
      <protection/>
    </xf>
    <xf numFmtId="4" fontId="10" fillId="0" borderId="46" xfId="21" applyNumberFormat="1" applyFont="1" applyFill="1" applyBorder="1" applyAlignment="1">
      <alignment horizontal="right" vertical="top" wrapText="1"/>
      <protection/>
    </xf>
    <xf numFmtId="3" fontId="10" fillId="0" borderId="46" xfId="21" applyNumberFormat="1" applyFont="1" applyFill="1" applyBorder="1" applyAlignment="1">
      <alignment horizontal="right" vertical="top" wrapText="1"/>
      <protection/>
    </xf>
    <xf numFmtId="0" fontId="24" fillId="0" borderId="47" xfId="21" applyFont="1" applyFill="1" applyBorder="1" applyAlignment="1">
      <alignment vertical="top" wrapText="1"/>
      <protection/>
    </xf>
    <xf numFmtId="0" fontId="10" fillId="0" borderId="21" xfId="21" applyFont="1" applyFill="1" applyBorder="1" applyAlignment="1">
      <alignment horizontal="center" vertical="top"/>
      <protection/>
    </xf>
    <xf numFmtId="0" fontId="10" fillId="0" borderId="22" xfId="21" applyFont="1" applyFill="1" applyBorder="1" applyAlignment="1">
      <alignment vertical="top"/>
      <protection/>
    </xf>
    <xf numFmtId="4" fontId="10" fillId="0" borderId="22" xfId="21" applyNumberFormat="1" applyFont="1" applyFill="1" applyBorder="1" applyAlignment="1">
      <alignment vertical="top"/>
      <protection/>
    </xf>
    <xf numFmtId="3" fontId="20" fillId="0" borderId="46" xfId="21" applyNumberFormat="1" applyFont="1" applyFill="1" applyBorder="1" applyAlignment="1">
      <alignment vertical="top"/>
      <protection/>
    </xf>
    <xf numFmtId="0" fontId="10" fillId="0" borderId="22" xfId="21" applyFont="1" applyFill="1" applyBorder="1" applyAlignment="1">
      <alignment horizontal="right" vertical="top"/>
      <protection/>
    </xf>
    <xf numFmtId="3" fontId="20" fillId="0" borderId="47" xfId="21" applyNumberFormat="1" applyFont="1" applyFill="1" applyBorder="1" applyAlignment="1">
      <alignment vertical="top"/>
      <protection/>
    </xf>
    <xf numFmtId="171" fontId="10" fillId="0" borderId="12" xfId="21" applyNumberFormat="1" applyFont="1" applyFill="1" applyBorder="1" applyAlignment="1">
      <alignment horizontal="right" vertical="top"/>
      <protection/>
    </xf>
    <xf numFmtId="172" fontId="10" fillId="0" borderId="12" xfId="21" applyNumberFormat="1" applyFont="1" applyFill="1" applyBorder="1" applyAlignment="1">
      <alignment horizontal="right" vertical="top"/>
      <protection/>
    </xf>
    <xf numFmtId="4" fontId="10" fillId="0" borderId="0" xfId="21" applyNumberFormat="1" applyFont="1" applyFill="1" applyBorder="1" applyAlignment="1">
      <alignment horizontal="center" vertical="top"/>
      <protection/>
    </xf>
    <xf numFmtId="0" fontId="20" fillId="0" borderId="0" xfId="21" applyFont="1" applyFill="1" applyBorder="1" applyAlignment="1">
      <alignment horizontal="left" vertical="top"/>
      <protection/>
    </xf>
    <xf numFmtId="168" fontId="10" fillId="0" borderId="0" xfId="0" applyNumberFormat="1" applyFont="1" applyFill="1" applyBorder="1" applyAlignment="1">
      <alignment horizontal="right" vertical="top"/>
    </xf>
    <xf numFmtId="166" fontId="10" fillId="0" borderId="13" xfId="21" applyNumberFormat="1" applyFont="1" applyFill="1" applyBorder="1" applyAlignment="1">
      <alignment vertical="top"/>
      <protection/>
    </xf>
    <xf numFmtId="0" fontId="33" fillId="0" borderId="12" xfId="21" applyFont="1" applyFill="1" applyBorder="1" applyAlignment="1">
      <alignment vertical="top" wrapText="1"/>
      <protection/>
    </xf>
    <xf numFmtId="49" fontId="25" fillId="0" borderId="12" xfId="21" applyNumberFormat="1" applyFont="1" applyFill="1" applyBorder="1" applyAlignment="1">
      <alignment horizontal="center" vertical="top" shrinkToFit="1"/>
      <protection/>
    </xf>
    <xf numFmtId="4" fontId="25" fillId="0" borderId="12" xfId="21" applyNumberFormat="1" applyFont="1" applyFill="1" applyBorder="1" applyAlignment="1">
      <alignment horizontal="right" vertical="top"/>
      <protection/>
    </xf>
    <xf numFmtId="166" fontId="25" fillId="0" borderId="12" xfId="21" applyNumberFormat="1" applyFont="1" applyFill="1" applyBorder="1" applyAlignment="1">
      <alignment vertical="top"/>
      <protection/>
    </xf>
    <xf numFmtId="166" fontId="25" fillId="0" borderId="12" xfId="21" applyNumberFormat="1" applyFont="1" applyFill="1" applyBorder="1" applyAlignment="1">
      <alignment vertical="top" wrapText="1"/>
      <protection/>
    </xf>
    <xf numFmtId="166" fontId="25" fillId="0" borderId="13" xfId="21" applyNumberFormat="1" applyFont="1" applyFill="1" applyBorder="1" applyAlignment="1">
      <alignment horizontal="right" vertical="top"/>
      <protection/>
    </xf>
    <xf numFmtId="166" fontId="25" fillId="0" borderId="13" xfId="21" applyNumberFormat="1" applyFont="1" applyFill="1" applyBorder="1" applyAlignment="1">
      <alignment vertical="top"/>
      <protection/>
    </xf>
    <xf numFmtId="0" fontId="30" fillId="0" borderId="0" xfId="0" applyFont="1"/>
    <xf numFmtId="4" fontId="20" fillId="0" borderId="7" xfId="21" applyNumberFormat="1" applyFont="1" applyFill="1" applyBorder="1" applyAlignment="1">
      <alignment vertical="top"/>
      <protection/>
    </xf>
    <xf numFmtId="4" fontId="20" fillId="0" borderId="46" xfId="21" applyNumberFormat="1" applyFont="1" applyFill="1" applyBorder="1" applyAlignment="1">
      <alignment horizontal="right" vertical="top"/>
      <protection/>
    </xf>
    <xf numFmtId="4" fontId="20" fillId="0" borderId="7" xfId="21" applyNumberFormat="1" applyFont="1" applyFill="1" applyBorder="1" applyAlignment="1">
      <alignment horizontal="right" vertical="top"/>
      <protection/>
    </xf>
    <xf numFmtId="4" fontId="10" fillId="0" borderId="12" xfId="0" applyNumberFormat="1" applyFont="1" applyFill="1" applyBorder="1"/>
    <xf numFmtId="4" fontId="20" fillId="0" borderId="12" xfId="0" applyNumberFormat="1" applyFont="1" applyFill="1" applyBorder="1"/>
    <xf numFmtId="4" fontId="10" fillId="0" borderId="12" xfId="0" applyNumberFormat="1" applyFont="1" applyFill="1" applyBorder="1" applyAlignment="1">
      <alignment vertical="top"/>
    </xf>
    <xf numFmtId="4" fontId="20" fillId="0" borderId="12" xfId="0" applyNumberFormat="1" applyFont="1" applyFill="1" applyBorder="1" applyAlignment="1">
      <alignment vertical="top"/>
    </xf>
    <xf numFmtId="4" fontId="10" fillId="0" borderId="12" xfId="24" applyNumberFormat="1" applyFont="1" applyFill="1" applyBorder="1" applyAlignment="1">
      <alignment vertical="top"/>
    </xf>
    <xf numFmtId="170" fontId="10" fillId="0" borderId="0" xfId="21" applyNumberFormat="1" applyFont="1" applyFill="1" applyBorder="1" applyAlignment="1">
      <alignment horizontal="right" vertical="top"/>
      <protection/>
    </xf>
    <xf numFmtId="0" fontId="10" fillId="0" borderId="0" xfId="21" applyFont="1" applyFill="1" applyAlignment="1">
      <alignment vertical="top" wrapText="1"/>
      <protection/>
    </xf>
    <xf numFmtId="0" fontId="0" fillId="0" borderId="0" xfId="0" applyFont="1"/>
    <xf numFmtId="3" fontId="34" fillId="0" borderId="0" xfId="21" applyNumberFormat="1" applyFont="1" applyFill="1" applyAlignment="1">
      <alignment vertical="top"/>
      <protection/>
    </xf>
    <xf numFmtId="14" fontId="18" fillId="0" borderId="0" xfId="20" applyNumberFormat="1" applyFont="1" applyFill="1" applyAlignment="1">
      <alignment horizontal="right"/>
      <protection/>
    </xf>
    <xf numFmtId="0" fontId="17" fillId="0" borderId="0" xfId="20" applyNumberFormat="1" applyFont="1" applyAlignment="1">
      <alignment horizontal="right"/>
      <protection/>
    </xf>
    <xf numFmtId="0" fontId="12" fillId="3" borderId="70" xfId="20" applyNumberFormat="1" applyFont="1" applyFill="1" applyBorder="1" applyAlignment="1">
      <alignment horizontal="right" vertical="center"/>
      <protection/>
    </xf>
    <xf numFmtId="0" fontId="12" fillId="3" borderId="58" xfId="20" applyNumberFormat="1" applyFont="1" applyFill="1" applyBorder="1" applyAlignment="1">
      <alignment horizontal="right" vertical="center"/>
      <protection/>
    </xf>
    <xf numFmtId="0" fontId="13" fillId="3" borderId="28" xfId="20" applyNumberFormat="1" applyFont="1" applyFill="1" applyBorder="1" applyAlignment="1">
      <alignment horizontal="right" vertical="center" wrapText="1"/>
      <protection/>
    </xf>
    <xf numFmtId="0" fontId="13" fillId="3" borderId="0" xfId="20" applyNumberFormat="1" applyFont="1" applyFill="1" applyBorder="1" applyAlignment="1">
      <alignment horizontal="right" vertical="center" wrapText="1"/>
      <protection/>
    </xf>
    <xf numFmtId="0" fontId="15" fillId="3" borderId="0" xfId="20" applyNumberFormat="1" applyFont="1" applyFill="1" applyBorder="1" applyAlignment="1">
      <alignment horizontal="right" vertical="center"/>
      <protection/>
    </xf>
    <xf numFmtId="167" fontId="17" fillId="0" borderId="0" xfId="20" applyNumberFormat="1" applyFont="1" applyAlignment="1">
      <alignment horizontal="right"/>
      <protection/>
    </xf>
    <xf numFmtId="49" fontId="5" fillId="2" borderId="6" xfId="0" applyNumberFormat="1" applyFont="1" applyFill="1" applyBorder="1" applyAlignment="1">
      <alignment horizontal="center" shrinkToFit="1"/>
    </xf>
    <xf numFmtId="49" fontId="5" fillId="2" borderId="5" xfId="0" applyNumberFormat="1" applyFont="1" applyFill="1" applyBorder="1" applyAlignment="1">
      <alignment horizontal="center" shrinkToFit="1"/>
    </xf>
    <xf numFmtId="49" fontId="3" fillId="2" borderId="71" xfId="0" applyNumberFormat="1" applyFont="1" applyFill="1" applyBorder="1" applyAlignment="1">
      <alignment horizontal="left" shrinkToFit="1"/>
    </xf>
    <xf numFmtId="49" fontId="3" fillId="2" borderId="11" xfId="0" applyNumberFormat="1" applyFont="1" applyFill="1" applyBorder="1" applyAlignment="1">
      <alignment horizontal="left" shrinkToFit="1"/>
    </xf>
    <xf numFmtId="49" fontId="3" fillId="2" borderId="1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wrapText="1"/>
    </xf>
    <xf numFmtId="166" fontId="6" fillId="2" borderId="72" xfId="0" applyNumberFormat="1" applyFont="1" applyFill="1" applyBorder="1" applyAlignment="1">
      <alignment horizontal="right" indent="2"/>
    </xf>
    <xf numFmtId="166" fontId="6" fillId="2" borderId="49" xfId="0" applyNumberFormat="1" applyFont="1" applyFill="1" applyBorder="1" applyAlignment="1">
      <alignment horizontal="right" indent="2"/>
    </xf>
    <xf numFmtId="0" fontId="1" fillId="0" borderId="30" xfId="0" applyFont="1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166" fontId="1" fillId="0" borderId="71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4" fillId="0" borderId="12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" fillId="0" borderId="73" xfId="21" applyFont="1" applyBorder="1" applyAlignment="1">
      <alignment horizontal="center"/>
      <protection/>
    </xf>
    <xf numFmtId="0" fontId="1" fillId="0" borderId="74" xfId="21" applyFont="1" applyBorder="1" applyAlignment="1">
      <alignment horizontal="center"/>
      <protection/>
    </xf>
    <xf numFmtId="0" fontId="1" fillId="0" borderId="75" xfId="21" applyFont="1" applyBorder="1" applyAlignment="1">
      <alignment horizontal="center"/>
      <protection/>
    </xf>
    <xf numFmtId="0" fontId="1" fillId="0" borderId="76" xfId="21" applyFont="1" applyBorder="1" applyAlignment="1">
      <alignment horizontal="center"/>
      <protection/>
    </xf>
    <xf numFmtId="0" fontId="1" fillId="0" borderId="77" xfId="21" applyFont="1" applyBorder="1" applyAlignment="1">
      <alignment horizontal="left"/>
      <protection/>
    </xf>
    <xf numFmtId="0" fontId="1" fillId="0" borderId="44" xfId="21" applyFont="1" applyBorder="1" applyAlignment="1">
      <alignment horizontal="left"/>
      <protection/>
    </xf>
    <xf numFmtId="0" fontId="1" fillId="0" borderId="69" xfId="21" applyFont="1" applyBorder="1" applyAlignment="1">
      <alignment horizontal="left"/>
      <protection/>
    </xf>
    <xf numFmtId="3" fontId="3" fillId="2" borderId="31" xfId="0" applyNumberFormat="1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right"/>
    </xf>
    <xf numFmtId="49" fontId="3" fillId="0" borderId="42" xfId="21" applyNumberFormat="1" applyFont="1" applyBorder="1" applyAlignment="1">
      <alignment horizontal="left" shrinkToFit="1"/>
      <protection/>
    </xf>
    <xf numFmtId="49" fontId="3" fillId="0" borderId="52" xfId="21" applyNumberFormat="1" applyFont="1" applyBorder="1" applyAlignment="1">
      <alignment horizontal="left" shrinkToFit="1"/>
      <protection/>
    </xf>
    <xf numFmtId="49" fontId="3" fillId="0" borderId="74" xfId="21" applyNumberFormat="1" applyFont="1" applyBorder="1" applyAlignment="1">
      <alignment horizontal="left" shrinkToFit="1"/>
      <protection/>
    </xf>
    <xf numFmtId="0" fontId="10" fillId="0" borderId="77" xfId="21" applyFont="1" applyFill="1" applyBorder="1" applyAlignment="1">
      <alignment horizontal="left" vertical="top" shrinkToFit="1"/>
      <protection/>
    </xf>
    <xf numFmtId="0" fontId="10" fillId="0" borderId="44" xfId="21" applyFont="1" applyFill="1" applyBorder="1" applyAlignment="1">
      <alignment horizontal="left" vertical="top" shrinkToFit="1"/>
      <protection/>
    </xf>
    <xf numFmtId="0" fontId="24" fillId="0" borderId="35" xfId="21" applyFont="1" applyFill="1" applyBorder="1" applyAlignment="1">
      <alignment horizontal="center" vertical="top" wrapText="1"/>
      <protection/>
    </xf>
    <xf numFmtId="0" fontId="24" fillId="0" borderId="0" xfId="21" applyFont="1" applyFill="1" applyAlignment="1">
      <alignment horizontal="center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čtyřimísta" xfId="22"/>
    <cellStyle name="třimísta" xfId="23"/>
    <cellStyle name="Měn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imir%20Brezna\Documents\Pracovn&#237;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0"/>
      <sheetData sheetId="1"/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2:U39"/>
  <sheetViews>
    <sheetView view="pageBreakPreview" zoomScale="70" zoomScaleSheetLayoutView="70" workbookViewId="0" topLeftCell="A13">
      <selection activeCell="L20" sqref="L20"/>
    </sheetView>
  </sheetViews>
  <sheetFormatPr defaultColWidth="9.125" defaultRowHeight="12.75"/>
  <cols>
    <col min="1" max="2" width="6.50390625" style="137" customWidth="1"/>
    <col min="3" max="13" width="9.625" style="137" customWidth="1"/>
    <col min="14" max="19" width="9.125" style="137" customWidth="1"/>
    <col min="20" max="20" width="15.125" style="137" customWidth="1"/>
    <col min="21" max="16384" width="9.125" style="138" customWidth="1"/>
  </cols>
  <sheetData>
    <row r="11" ht="409.5" customHeight="1" thickBot="1"/>
    <row r="12" spans="1:20" s="139" customFormat="1" ht="15" customHeight="1">
      <c r="A12" s="440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</row>
    <row r="13" spans="1:20" s="139" customFormat="1" ht="74.25" customHeight="1">
      <c r="A13" s="442" t="s">
        <v>437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</row>
    <row r="14" spans="1:20" s="139" customFormat="1" ht="27" customHeight="1">
      <c r="A14" s="140"/>
      <c r="B14" s="141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142"/>
      <c r="O14" s="142"/>
      <c r="P14" s="142"/>
      <c r="Q14" s="142"/>
      <c r="R14" s="142"/>
      <c r="S14" s="142"/>
      <c r="T14" s="142"/>
    </row>
    <row r="16" spans="1:20" ht="12.75">
      <c r="A16" s="445" t="s">
        <v>81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</row>
    <row r="17" spans="15:20" ht="12.75">
      <c r="O17" s="439"/>
      <c r="P17" s="439"/>
      <c r="Q17" s="439"/>
      <c r="R17" s="439"/>
      <c r="S17" s="439"/>
      <c r="T17" s="439"/>
    </row>
    <row r="18" spans="1:20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ht="12.75">
      <c r="A19" s="439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</row>
    <row r="20" ht="243" customHeight="1"/>
    <row r="21" spans="2:19" ht="16.2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</row>
    <row r="22" spans="2:20" ht="12.75">
      <c r="B22" s="148"/>
      <c r="C22" s="148"/>
      <c r="D22" s="148"/>
      <c r="E22" s="148"/>
      <c r="F22" s="148"/>
      <c r="G22" s="148"/>
      <c r="H22" s="148"/>
      <c r="I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2:20" ht="16.2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1" t="s">
        <v>157</v>
      </c>
    </row>
    <row r="24" spans="2:20" ht="12.75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/>
    </row>
    <row r="25" spans="2:20" ht="16.2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1" t="s">
        <v>156</v>
      </c>
    </row>
    <row r="26" spans="2:20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2:20" ht="16.2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1" t="s">
        <v>155</v>
      </c>
    </row>
    <row r="28" spans="2:20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2:20" ht="16.2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1" t="s">
        <v>158</v>
      </c>
    </row>
    <row r="30" spans="2:20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</row>
    <row r="31" spans="2:20" ht="16.2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50"/>
      <c r="R31" s="148"/>
      <c r="S31" s="148"/>
      <c r="T31" s="151" t="s">
        <v>154</v>
      </c>
    </row>
    <row r="32" spans="2:20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</row>
    <row r="33" spans="2:20" ht="16.2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T33" s="151" t="s">
        <v>153</v>
      </c>
    </row>
    <row r="34" spans="2:21" ht="12.7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T34" s="149"/>
      <c r="U34" s="149"/>
    </row>
    <row r="35" spans="2:21" ht="16.2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438">
        <f ca="1">TODAY()</f>
        <v>43215</v>
      </c>
      <c r="T35" s="438"/>
      <c r="U35" s="153"/>
    </row>
    <row r="36" spans="2:18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2:18" ht="12.75" customHeight="1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</row>
    <row r="38" spans="1:20" ht="16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55"/>
    </row>
    <row r="39" ht="16.2">
      <c r="T39" s="155"/>
    </row>
  </sheetData>
  <mergeCells count="7">
    <mergeCell ref="S35:T35"/>
    <mergeCell ref="A19:T19"/>
    <mergeCell ref="A12:T12"/>
    <mergeCell ref="A13:T13"/>
    <mergeCell ref="C14:M14"/>
    <mergeCell ref="A16:T16"/>
    <mergeCell ref="O17:T17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6"/>
  <sheetViews>
    <sheetView workbookViewId="0" topLeftCell="A16">
      <selection activeCell="H29" sqref="H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02/2018</v>
      </c>
      <c r="D2" s="446" t="str">
        <f>Rekapitulace!G2</f>
        <v>Renovace výsadeb ČHMU Komořany</v>
      </c>
      <c r="E2" s="447"/>
      <c r="F2" s="6" t="s">
        <v>2</v>
      </c>
      <c r="G2" s="7" t="s">
        <v>74</v>
      </c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9" customHeight="1">
      <c r="A5" s="145" t="s">
        <v>359</v>
      </c>
      <c r="B5" s="16"/>
      <c r="C5" s="17" t="s">
        <v>128</v>
      </c>
      <c r="D5" s="18"/>
      <c r="E5" s="16"/>
      <c r="F5" s="12" t="s">
        <v>7</v>
      </c>
      <c r="G5" s="13" t="s">
        <v>75</v>
      </c>
    </row>
    <row r="6" spans="1:15" ht="12.9" customHeight="1">
      <c r="A6" s="14" t="s">
        <v>8</v>
      </c>
      <c r="B6" s="9"/>
      <c r="C6" s="10" t="s">
        <v>9</v>
      </c>
      <c r="D6" s="10"/>
      <c r="E6" s="11"/>
      <c r="F6" s="19" t="s">
        <v>10</v>
      </c>
      <c r="G6" s="20">
        <f>'Položky I. etp. - zámek, hl. a'!D637</f>
        <v>1208.4</v>
      </c>
      <c r="O6" s="21"/>
    </row>
    <row r="7" spans="1:7" ht="12.9" customHeight="1">
      <c r="A7" s="146" t="s">
        <v>459</v>
      </c>
      <c r="B7" s="22"/>
      <c r="C7" s="448" t="s">
        <v>461</v>
      </c>
      <c r="D7" s="449"/>
      <c r="E7" s="450"/>
      <c r="F7" s="23" t="s">
        <v>11</v>
      </c>
      <c r="G7" s="20">
        <f>IF(PocetMJ=0,,ROUND((F30+F32)/PocetMJ,1))</f>
        <v>0</v>
      </c>
    </row>
    <row r="8" spans="1:9" ht="12.75">
      <c r="A8" s="24" t="s">
        <v>12</v>
      </c>
      <c r="B8" s="12"/>
      <c r="C8" s="458"/>
      <c r="D8" s="458"/>
      <c r="E8" s="459"/>
      <c r="F8" s="25" t="s">
        <v>13</v>
      </c>
      <c r="G8" s="26"/>
      <c r="H8" s="27"/>
      <c r="I8" s="28"/>
    </row>
    <row r="9" spans="1:8" ht="12.75">
      <c r="A9" s="24" t="s">
        <v>14</v>
      </c>
      <c r="B9" s="12"/>
      <c r="C9" s="458">
        <f>Projektant</f>
        <v>0</v>
      </c>
      <c r="D9" s="458"/>
      <c r="E9" s="459"/>
      <c r="F9" s="12"/>
      <c r="G9" s="29"/>
      <c r="H9" s="30"/>
    </row>
    <row r="10" spans="1:8" ht="12.75">
      <c r="A10" s="24" t="s">
        <v>15</v>
      </c>
      <c r="B10" s="12"/>
      <c r="C10" s="458" t="s">
        <v>80</v>
      </c>
      <c r="D10" s="458"/>
      <c r="E10" s="458"/>
      <c r="F10" s="31"/>
      <c r="G10" s="32"/>
      <c r="H10" s="33"/>
    </row>
    <row r="11" spans="1:57" ht="13.5" customHeight="1">
      <c r="A11" s="24" t="s">
        <v>16</v>
      </c>
      <c r="B11" s="12"/>
      <c r="C11" s="458"/>
      <c r="D11" s="458"/>
      <c r="E11" s="458"/>
      <c r="F11" s="34" t="s">
        <v>17</v>
      </c>
      <c r="G11" s="35"/>
      <c r="H11" s="30"/>
      <c r="BA11" s="36"/>
      <c r="BB11" s="36"/>
      <c r="BC11" s="36"/>
      <c r="BD11" s="36"/>
      <c r="BE11" s="36"/>
    </row>
    <row r="12" spans="1:8" ht="12.75" customHeight="1">
      <c r="A12" s="37" t="s">
        <v>18</v>
      </c>
      <c r="B12" s="9"/>
      <c r="C12" s="460"/>
      <c r="D12" s="460"/>
      <c r="E12" s="460"/>
      <c r="F12" s="38" t="s">
        <v>19</v>
      </c>
      <c r="G12" s="39"/>
      <c r="H12" s="30"/>
    </row>
    <row r="13" spans="1:8" ht="28.5" customHeight="1" thickBot="1">
      <c r="A13" s="40" t="s">
        <v>20</v>
      </c>
      <c r="B13" s="41"/>
      <c r="C13" s="41"/>
      <c r="D13" s="41"/>
      <c r="E13" s="42"/>
      <c r="F13" s="42"/>
      <c r="G13" s="43"/>
      <c r="H13" s="30"/>
    </row>
    <row r="14" spans="1:7" ht="17.25" customHeight="1" thickBot="1">
      <c r="A14" s="44" t="s">
        <v>21</v>
      </c>
      <c r="B14" s="45"/>
      <c r="C14" s="46"/>
      <c r="D14" s="47" t="s">
        <v>22</v>
      </c>
      <c r="E14" s="48"/>
      <c r="F14" s="48"/>
      <c r="G14" s="46"/>
    </row>
    <row r="15" spans="1:7" ht="15.9" customHeight="1">
      <c r="A15" s="49"/>
      <c r="B15" s="50" t="s">
        <v>23</v>
      </c>
      <c r="C15" s="51">
        <f>HSV</f>
        <v>0</v>
      </c>
      <c r="D15" s="52"/>
      <c r="E15" s="53"/>
      <c r="F15" s="54"/>
      <c r="G15" s="51"/>
    </row>
    <row r="16" spans="1:7" ht="15.9" customHeight="1">
      <c r="A16" s="49" t="s">
        <v>24</v>
      </c>
      <c r="B16" s="50" t="s">
        <v>25</v>
      </c>
      <c r="C16" s="51">
        <f>PSV</f>
        <v>0</v>
      </c>
      <c r="D16" s="8"/>
      <c r="E16" s="55"/>
      <c r="F16" s="56"/>
      <c r="G16" s="51"/>
    </row>
    <row r="17" spans="1:7" ht="15.9" customHeight="1">
      <c r="A17" s="49" t="s">
        <v>26</v>
      </c>
      <c r="B17" s="50" t="s">
        <v>27</v>
      </c>
      <c r="C17" s="51">
        <f>Mont</f>
        <v>0</v>
      </c>
      <c r="D17" s="8"/>
      <c r="E17" s="55"/>
      <c r="F17" s="56"/>
      <c r="G17" s="51"/>
    </row>
    <row r="18" spans="1:7" ht="15.9" customHeight="1">
      <c r="A18" s="57" t="s">
        <v>28</v>
      </c>
      <c r="B18" s="58" t="s">
        <v>29</v>
      </c>
      <c r="C18" s="51">
        <f>Dodavka</f>
        <v>0</v>
      </c>
      <c r="D18" s="8"/>
      <c r="E18" s="55"/>
      <c r="F18" s="56"/>
      <c r="G18" s="51"/>
    </row>
    <row r="19" spans="1:7" ht="15.9" customHeight="1">
      <c r="A19" s="59" t="s">
        <v>30</v>
      </c>
      <c r="B19" s="50"/>
      <c r="C19" s="51">
        <f>SUM(C15:C18)</f>
        <v>0</v>
      </c>
      <c r="D19" s="8"/>
      <c r="E19" s="55"/>
      <c r="F19" s="56"/>
      <c r="G19" s="51"/>
    </row>
    <row r="20" spans="1:7" ht="15.9" customHeight="1">
      <c r="A20" s="59"/>
      <c r="B20" s="50"/>
      <c r="C20" s="51"/>
      <c r="D20" s="8"/>
      <c r="E20" s="55"/>
      <c r="F20" s="56"/>
      <c r="G20" s="51"/>
    </row>
    <row r="21" spans="1:7" ht="15.9" customHeight="1">
      <c r="A21" s="59" t="s">
        <v>31</v>
      </c>
      <c r="B21" s="50"/>
      <c r="C21" s="51">
        <f>HZS</f>
        <v>0</v>
      </c>
      <c r="D21" s="8"/>
      <c r="E21" s="55"/>
      <c r="F21" s="56"/>
      <c r="G21" s="51"/>
    </row>
    <row r="22" spans="1:7" ht="15.9" customHeight="1">
      <c r="A22" s="60" t="s">
        <v>32</v>
      </c>
      <c r="B22" s="61"/>
      <c r="C22" s="51">
        <f>C19+C21</f>
        <v>0</v>
      </c>
      <c r="D22" s="8" t="s">
        <v>33</v>
      </c>
      <c r="E22" s="55"/>
      <c r="F22" s="56"/>
      <c r="G22" s="51">
        <f>G23-SUM(G15:G21)</f>
        <v>0</v>
      </c>
    </row>
    <row r="23" spans="1:7" ht="15.9" customHeight="1" thickBot="1">
      <c r="A23" s="454" t="s">
        <v>34</v>
      </c>
      <c r="B23" s="455"/>
      <c r="C23" s="62">
        <f>C22+G23</f>
        <v>0</v>
      </c>
      <c r="D23" s="63" t="s">
        <v>35</v>
      </c>
      <c r="E23" s="64"/>
      <c r="F23" s="65"/>
      <c r="G23" s="51">
        <f>VRN</f>
        <v>0</v>
      </c>
    </row>
    <row r="24" spans="1:7" ht="12.75">
      <c r="A24" s="66" t="s">
        <v>36</v>
      </c>
      <c r="B24" s="67"/>
      <c r="C24" s="68"/>
      <c r="D24" s="67" t="s">
        <v>37</v>
      </c>
      <c r="E24" s="67"/>
      <c r="F24" s="69" t="s">
        <v>38</v>
      </c>
      <c r="G24" s="70"/>
    </row>
    <row r="25" spans="1:7" ht="12.75">
      <c r="A25" s="60" t="s">
        <v>39</v>
      </c>
      <c r="B25" s="61"/>
      <c r="C25" s="71"/>
      <c r="D25" s="61" t="s">
        <v>39</v>
      </c>
      <c r="E25" s="72"/>
      <c r="F25" s="73" t="s">
        <v>39</v>
      </c>
      <c r="G25" s="74"/>
    </row>
    <row r="26" spans="1:7" ht="37.5" customHeight="1">
      <c r="A26" s="60" t="s">
        <v>40</v>
      </c>
      <c r="B26" s="75"/>
      <c r="C26" s="71"/>
      <c r="D26" s="61" t="s">
        <v>40</v>
      </c>
      <c r="E26" s="72"/>
      <c r="F26" s="73" t="s">
        <v>40</v>
      </c>
      <c r="G26" s="74"/>
    </row>
    <row r="27" spans="1:7" ht="12.75">
      <c r="A27" s="60"/>
      <c r="B27" s="76"/>
      <c r="C27" s="71"/>
      <c r="D27" s="61"/>
      <c r="E27" s="72"/>
      <c r="F27" s="73"/>
      <c r="G27" s="74"/>
    </row>
    <row r="28" spans="1:7" ht="12.75">
      <c r="A28" s="60" t="s">
        <v>41</v>
      </c>
      <c r="B28" s="61"/>
      <c r="C28" s="71"/>
      <c r="D28" s="73" t="s">
        <v>42</v>
      </c>
      <c r="E28" s="71"/>
      <c r="F28" s="77" t="s">
        <v>42</v>
      </c>
      <c r="G28" s="74"/>
    </row>
    <row r="29" spans="1:7" ht="69" customHeight="1">
      <c r="A29" s="60"/>
      <c r="B29" s="61"/>
      <c r="C29" s="78"/>
      <c r="D29" s="79"/>
      <c r="E29" s="78"/>
      <c r="F29" s="61"/>
      <c r="G29" s="74"/>
    </row>
    <row r="30" spans="1:7" ht="12.75">
      <c r="A30" s="80" t="s">
        <v>43</v>
      </c>
      <c r="B30" s="81"/>
      <c r="C30" s="82">
        <v>21</v>
      </c>
      <c r="D30" s="81" t="s">
        <v>44</v>
      </c>
      <c r="E30" s="83"/>
      <c r="F30" s="456">
        <f>C23-F32</f>
        <v>0</v>
      </c>
      <c r="G30" s="457"/>
    </row>
    <row r="31" spans="1:7" ht="12.75">
      <c r="A31" s="80" t="s">
        <v>45</v>
      </c>
      <c r="B31" s="81"/>
      <c r="C31" s="82">
        <f>SazbaDPH1</f>
        <v>21</v>
      </c>
      <c r="D31" s="81" t="s">
        <v>46</v>
      </c>
      <c r="E31" s="83"/>
      <c r="F31" s="456">
        <f>ROUND(PRODUCT(F30,C31/100),0)</f>
        <v>0</v>
      </c>
      <c r="G31" s="457"/>
    </row>
    <row r="32" spans="1:7" ht="12.75">
      <c r="A32" s="80" t="s">
        <v>43</v>
      </c>
      <c r="B32" s="81"/>
      <c r="C32" s="82">
        <v>0</v>
      </c>
      <c r="D32" s="81" t="s">
        <v>46</v>
      </c>
      <c r="E32" s="83"/>
      <c r="F32" s="456">
        <v>0</v>
      </c>
      <c r="G32" s="457"/>
    </row>
    <row r="33" spans="1:7" ht="12.75">
      <c r="A33" s="80" t="s">
        <v>45</v>
      </c>
      <c r="B33" s="84"/>
      <c r="C33" s="85">
        <f>SazbaDPH2</f>
        <v>0</v>
      </c>
      <c r="D33" s="81" t="s">
        <v>46</v>
      </c>
      <c r="E33" s="56"/>
      <c r="F33" s="456">
        <f>ROUND(PRODUCT(F32,C33/100),0)</f>
        <v>0</v>
      </c>
      <c r="G33" s="457"/>
    </row>
    <row r="34" spans="1:7" s="89" customFormat="1" ht="19.5" customHeight="1" thickBot="1">
      <c r="A34" s="86" t="s">
        <v>47</v>
      </c>
      <c r="B34" s="87"/>
      <c r="C34" s="87"/>
      <c r="D34" s="87"/>
      <c r="E34" s="88"/>
      <c r="F34" s="452">
        <f>ROUND(SUM(F30:F33),0)</f>
        <v>0</v>
      </c>
      <c r="G34" s="453"/>
    </row>
    <row r="36" spans="1:8" ht="12.75">
      <c r="A36" s="90" t="s">
        <v>48</v>
      </c>
      <c r="B36" s="90"/>
      <c r="C36" s="90"/>
      <c r="D36" s="90"/>
      <c r="E36" s="90"/>
      <c r="F36" s="90"/>
      <c r="G36" s="90"/>
      <c r="H36" t="s">
        <v>6</v>
      </c>
    </row>
    <row r="37" spans="2:7" ht="12.75">
      <c r="B37" s="451"/>
      <c r="C37" s="451"/>
      <c r="D37" s="451"/>
      <c r="E37" s="451"/>
      <c r="F37" s="451"/>
      <c r="G37" s="451"/>
    </row>
    <row r="38" spans="2:7" ht="12.75">
      <c r="B38" s="451"/>
      <c r="C38" s="451"/>
      <c r="D38" s="451"/>
      <c r="E38" s="451"/>
      <c r="F38" s="451"/>
      <c r="G38" s="451"/>
    </row>
    <row r="39" spans="2:7" ht="12.75">
      <c r="B39" s="451"/>
      <c r="C39" s="451"/>
      <c r="D39" s="451"/>
      <c r="E39" s="451"/>
      <c r="F39" s="451"/>
      <c r="G39" s="451"/>
    </row>
    <row r="40" spans="2:7" ht="12.75">
      <c r="B40" s="451"/>
      <c r="C40" s="451"/>
      <c r="D40" s="451"/>
      <c r="E40" s="451"/>
      <c r="F40" s="451"/>
      <c r="G40" s="451"/>
    </row>
    <row r="41" spans="2:7" ht="12.75">
      <c r="B41" s="451"/>
      <c r="C41" s="451"/>
      <c r="D41" s="451"/>
      <c r="E41" s="451"/>
      <c r="F41" s="451"/>
      <c r="G41" s="451"/>
    </row>
    <row r="42" spans="2:7" ht="12.75">
      <c r="B42" s="451"/>
      <c r="C42" s="451"/>
      <c r="D42" s="451"/>
      <c r="E42" s="451"/>
      <c r="F42" s="451"/>
      <c r="G42" s="451"/>
    </row>
    <row r="43" spans="2:7" ht="12.75">
      <c r="B43" s="451"/>
      <c r="C43" s="451"/>
      <c r="D43" s="451"/>
      <c r="E43" s="451"/>
      <c r="F43" s="451"/>
      <c r="G43" s="451"/>
    </row>
    <row r="44" spans="2:7" ht="12.75">
      <c r="B44" s="451"/>
      <c r="C44" s="451"/>
      <c r="D44" s="451"/>
      <c r="E44" s="451"/>
      <c r="F44" s="451"/>
      <c r="G44" s="451"/>
    </row>
    <row r="45" spans="2:7" ht="12.75">
      <c r="B45" s="451"/>
      <c r="C45" s="451"/>
      <c r="D45" s="451"/>
      <c r="E45" s="451"/>
      <c r="F45" s="451"/>
      <c r="G45" s="451"/>
    </row>
    <row r="46" spans="2:7" ht="12.75">
      <c r="B46" s="451"/>
      <c r="C46" s="451"/>
      <c r="D46" s="451"/>
      <c r="E46" s="451"/>
      <c r="F46" s="451"/>
      <c r="G46" s="451"/>
    </row>
  </sheetData>
  <mergeCells count="23">
    <mergeCell ref="F32:G32"/>
    <mergeCell ref="F33:G33"/>
    <mergeCell ref="C8:E8"/>
    <mergeCell ref="C9:E9"/>
    <mergeCell ref="C10:E10"/>
    <mergeCell ref="C11:E11"/>
    <mergeCell ref="C12:E12"/>
    <mergeCell ref="D2:E2"/>
    <mergeCell ref="C7:E7"/>
    <mergeCell ref="B46:G46"/>
    <mergeCell ref="B37:G37"/>
    <mergeCell ref="B38:G38"/>
    <mergeCell ref="B39:G39"/>
    <mergeCell ref="B40:G40"/>
    <mergeCell ref="B41:G41"/>
    <mergeCell ref="B42:G42"/>
    <mergeCell ref="F34:G34"/>
    <mergeCell ref="B43:G43"/>
    <mergeCell ref="B44:G44"/>
    <mergeCell ref="B45:G45"/>
    <mergeCell ref="A23:B23"/>
    <mergeCell ref="F30:G30"/>
    <mergeCell ref="F31:G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70"/>
  <sheetViews>
    <sheetView workbookViewId="0" topLeftCell="A1">
      <selection activeCell="E24" sqref="E24:E29"/>
    </sheetView>
  </sheetViews>
  <sheetFormatPr defaultColWidth="9.00390625" defaultRowHeight="12.75"/>
  <cols>
    <col min="1" max="1" width="2.00390625" style="0" customWidth="1"/>
    <col min="2" max="2" width="6.125" style="0" customWidth="1"/>
    <col min="3" max="3" width="11.50390625" style="0" customWidth="1"/>
    <col min="4" max="4" width="27.625" style="0" customWidth="1"/>
    <col min="5" max="5" width="9.125" style="0" bestFit="1" customWidth="1"/>
    <col min="6" max="6" width="8.875" style="0" bestFit="1" customWidth="1"/>
    <col min="7" max="8" width="9.50390625" style="0" customWidth="1"/>
    <col min="9" max="9" width="10.625" style="0" customWidth="1"/>
  </cols>
  <sheetData>
    <row r="1" spans="1:9" ht="13.8" thickTop="1">
      <c r="A1" s="461" t="s">
        <v>49</v>
      </c>
      <c r="B1" s="462"/>
      <c r="C1" s="470" t="str">
        <f>CONCATENATE(cislostavby," ",nazevstavby)</f>
        <v>2018 Renovace výsadeb a parkové kompozice  - PRVNÍ ETAPA</v>
      </c>
      <c r="D1" s="471"/>
      <c r="E1" s="471"/>
      <c r="F1" s="472"/>
      <c r="G1" s="91" t="s">
        <v>50</v>
      </c>
      <c r="H1" s="147" t="s">
        <v>462</v>
      </c>
      <c r="I1" s="92"/>
    </row>
    <row r="2" spans="1:9" ht="13.8" thickBot="1">
      <c r="A2" s="463" t="s">
        <v>51</v>
      </c>
      <c r="B2" s="464"/>
      <c r="C2" s="93" t="str">
        <f>CONCATENATE(cisloobjektu," ",nazevobjektu)</f>
        <v>02 ČHMÚ v Praze - Komořanech</v>
      </c>
      <c r="D2" s="94"/>
      <c r="E2" s="95"/>
      <c r="F2" s="94"/>
      <c r="G2" s="465" t="s">
        <v>127</v>
      </c>
      <c r="H2" s="466"/>
      <c r="I2" s="467"/>
    </row>
    <row r="3" spans="1:9" ht="13.8" thickTop="1">
      <c r="A3" s="72"/>
      <c r="B3" s="72"/>
      <c r="C3" s="72"/>
      <c r="D3" s="72"/>
      <c r="E3" s="72"/>
      <c r="F3" s="61"/>
      <c r="G3" s="72"/>
      <c r="H3" s="72"/>
      <c r="I3" s="72"/>
    </row>
    <row r="4" spans="1:9" ht="19.5" customHeight="1">
      <c r="A4" s="96" t="s">
        <v>52</v>
      </c>
      <c r="B4" s="97"/>
      <c r="C4" s="97"/>
      <c r="D4" s="97"/>
      <c r="E4" s="98"/>
      <c r="F4" s="97"/>
      <c r="G4" s="97"/>
      <c r="H4" s="97"/>
      <c r="I4" s="97"/>
    </row>
    <row r="5" spans="1:9" ht="13.8" thickBot="1">
      <c r="A5" s="72"/>
      <c r="B5" s="72"/>
      <c r="C5" s="72"/>
      <c r="D5" s="72"/>
      <c r="E5" s="72"/>
      <c r="F5" s="72"/>
      <c r="G5" s="72"/>
      <c r="H5" s="72"/>
      <c r="I5" s="72"/>
    </row>
    <row r="6" spans="1:9" s="30" customFormat="1" ht="13.8" thickBot="1">
      <c r="A6" s="99"/>
      <c r="B6" s="100" t="s">
        <v>53</v>
      </c>
      <c r="C6" s="100"/>
      <c r="D6" s="101"/>
      <c r="E6" s="102" t="s">
        <v>54</v>
      </c>
      <c r="F6" s="103" t="s">
        <v>55</v>
      </c>
      <c r="G6" s="103" t="s">
        <v>56</v>
      </c>
      <c r="H6" s="103" t="s">
        <v>57</v>
      </c>
      <c r="I6" s="104" t="s">
        <v>31</v>
      </c>
    </row>
    <row r="7" spans="1:9" s="30" customFormat="1" ht="12.75">
      <c r="A7" s="144">
        <f>'Položky I. etp. - zámek, hl. a'!A619</f>
        <v>1</v>
      </c>
      <c r="B7" s="105" t="str">
        <f>'Položky I. etp. - zámek, hl. a'!B619</f>
        <v>Kácení a odstraňování dřevin</v>
      </c>
      <c r="C7" s="61"/>
      <c r="D7" s="106"/>
      <c r="E7" s="252">
        <f>'Položky I. etp. - zámek, hl. a'!G619</f>
        <v>0</v>
      </c>
      <c r="F7" s="135"/>
      <c r="G7" s="135"/>
      <c r="H7" s="135"/>
      <c r="I7" s="136"/>
    </row>
    <row r="8" spans="1:9" s="30" customFormat="1" ht="12.75">
      <c r="A8" s="144">
        <f>'Položky I. etp. - zámek, hl. a'!A620</f>
        <v>2</v>
      </c>
      <c r="B8" s="105" t="str">
        <f>'Položky I. etp. - zámek, hl. a'!B620</f>
        <v>Úprava terénu HTÚ</v>
      </c>
      <c r="C8" s="61"/>
      <c r="D8" s="106"/>
      <c r="E8" s="252">
        <f>'Položky I. etp. - zámek, hl. a'!G620</f>
        <v>0</v>
      </c>
      <c r="F8" s="135"/>
      <c r="G8" s="135"/>
      <c r="H8" s="135"/>
      <c r="I8" s="136"/>
    </row>
    <row r="9" spans="1:9" s="30" customFormat="1" ht="12.75">
      <c r="A9" s="144">
        <f>'Položky I. etp. - zámek, hl. a'!A621</f>
        <v>3</v>
      </c>
      <c r="B9" s="105" t="str">
        <f>'Položky I. etp. - zámek, hl. a'!B621</f>
        <v>Stromy</v>
      </c>
      <c r="C9" s="61"/>
      <c r="D9" s="106"/>
      <c r="E9" s="252">
        <f>'Položky I. etp. - zámek, hl. a'!G621</f>
        <v>0</v>
      </c>
      <c r="F9" s="135"/>
      <c r="G9" s="135"/>
      <c r="H9" s="135"/>
      <c r="I9" s="136"/>
    </row>
    <row r="10" spans="1:9" s="30" customFormat="1" ht="12.75">
      <c r="A10" s="144">
        <f>'Položky I. etp. - zámek, hl. a'!A635</f>
        <v>4</v>
      </c>
      <c r="B10" s="105" t="str">
        <f>'Položky I. etp. - zámek, hl. a'!B635</f>
        <v>Výsadba rostlin dle jednotlivých záhonů, založení trávníku</v>
      </c>
      <c r="C10" s="61"/>
      <c r="D10" s="106"/>
      <c r="E10" s="252">
        <f>'Položky I. etp. - zámek, hl. a'!G635</f>
        <v>0</v>
      </c>
      <c r="F10" s="135"/>
      <c r="G10" s="135"/>
      <c r="H10" s="135"/>
      <c r="I10" s="136"/>
    </row>
    <row r="11" spans="1:9" s="30" customFormat="1" ht="12.75">
      <c r="A11" s="144">
        <f>'Položky I. etp. - zámek, hl. a'!A640</f>
        <v>5</v>
      </c>
      <c r="B11" s="105" t="str">
        <f>'Položky I. etp. - zámek, hl. a'!B640</f>
        <v>Údržba po dobu tří let vše (Zámek a Hl. areál TZ 4,5,6,7)</v>
      </c>
      <c r="C11" s="61"/>
      <c r="D11" s="106"/>
      <c r="E11" s="252">
        <f>'Položky I. etp. - zámek, hl. a'!G640</f>
        <v>0</v>
      </c>
      <c r="F11" s="135"/>
      <c r="G11" s="135"/>
      <c r="H11" s="135"/>
      <c r="I11" s="136"/>
    </row>
    <row r="12" spans="1:9" s="30" customFormat="1" ht="13.8" thickBot="1">
      <c r="A12" s="264"/>
      <c r="B12" s="105"/>
      <c r="C12" s="61"/>
      <c r="D12" s="106"/>
      <c r="E12" s="252"/>
      <c r="F12" s="135"/>
      <c r="G12" s="135"/>
      <c r="H12" s="135"/>
      <c r="I12" s="136"/>
    </row>
    <row r="13" spans="1:9" s="112" customFormat="1" ht="13.8" thickBot="1">
      <c r="A13" s="107"/>
      <c r="B13" s="108" t="s">
        <v>58</v>
      </c>
      <c r="C13" s="108"/>
      <c r="D13" s="109"/>
      <c r="E13" s="253">
        <f>SUM(E7:E12)</f>
        <v>0</v>
      </c>
      <c r="F13" s="110">
        <f>SUM(F7:F12)</f>
        <v>0</v>
      </c>
      <c r="G13" s="110">
        <f>SUM(G7:G12)</f>
        <v>0</v>
      </c>
      <c r="H13" s="110">
        <f>SUM(H7:H12)</f>
        <v>0</v>
      </c>
      <c r="I13" s="111">
        <f>SUM(I7:I12)</f>
        <v>0</v>
      </c>
    </row>
    <row r="14" spans="1:9" ht="12.75">
      <c r="A14" s="61"/>
      <c r="B14" s="61"/>
      <c r="C14" s="61"/>
      <c r="D14" s="61"/>
      <c r="E14" s="248"/>
      <c r="F14" s="61"/>
      <c r="G14" s="61"/>
      <c r="H14" s="61"/>
      <c r="I14" s="61"/>
    </row>
    <row r="15" spans="1:57" ht="19.5" customHeight="1">
      <c r="A15" s="97" t="s">
        <v>59</v>
      </c>
      <c r="B15" s="97"/>
      <c r="C15" s="97"/>
      <c r="D15" s="97"/>
      <c r="E15" s="97"/>
      <c r="F15" s="97"/>
      <c r="G15" s="113"/>
      <c r="H15" s="97"/>
      <c r="I15" s="97"/>
      <c r="BA15" s="36"/>
      <c r="BB15" s="36"/>
      <c r="BC15" s="36"/>
      <c r="BD15" s="36"/>
      <c r="BE15" s="36"/>
    </row>
    <row r="16" spans="1:9" ht="13.8" thickBot="1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66" t="s">
        <v>60</v>
      </c>
      <c r="B17" s="67"/>
      <c r="C17" s="67"/>
      <c r="D17" s="114"/>
      <c r="E17" s="115" t="s">
        <v>61</v>
      </c>
      <c r="F17" s="116" t="s">
        <v>62</v>
      </c>
      <c r="G17" s="117" t="s">
        <v>63</v>
      </c>
      <c r="H17" s="118"/>
      <c r="I17" s="119" t="s">
        <v>61</v>
      </c>
    </row>
    <row r="18" spans="1:53" ht="12.75">
      <c r="A18" s="59"/>
      <c r="B18" s="50"/>
      <c r="C18" s="50"/>
      <c r="D18" s="120"/>
      <c r="E18" s="121"/>
      <c r="F18" s="122"/>
      <c r="G18" s="123">
        <f>CHOOSE(BA18+1,HSV+PSV,HSV+PSV+Mont,HSV+PSV+Dodavka+Mont,HSV,PSV,Mont,Dodavka,Mont+Dodavka,0)</f>
        <v>0</v>
      </c>
      <c r="H18" s="124"/>
      <c r="I18" s="125">
        <f>E18+F18*G18/100</f>
        <v>0</v>
      </c>
      <c r="BA18">
        <v>8</v>
      </c>
    </row>
    <row r="19" spans="1:9" ht="13.8" thickBot="1">
      <c r="A19" s="126"/>
      <c r="B19" s="127" t="s">
        <v>64</v>
      </c>
      <c r="C19" s="128"/>
      <c r="D19" s="129"/>
      <c r="E19" s="130"/>
      <c r="F19" s="131"/>
      <c r="G19" s="131"/>
      <c r="H19" s="468">
        <f>SUM(H18:H18)</f>
        <v>0</v>
      </c>
      <c r="I19" s="469"/>
    </row>
    <row r="21" spans="2:9" ht="12.75">
      <c r="B21" s="112"/>
      <c r="F21" s="132"/>
      <c r="G21" s="133"/>
      <c r="H21" s="133"/>
      <c r="I21" s="134"/>
    </row>
    <row r="22" spans="6:9" ht="12.75">
      <c r="F22" s="132"/>
      <c r="G22" s="133"/>
      <c r="H22" s="133"/>
      <c r="I22" s="134"/>
    </row>
    <row r="23" spans="6:9" ht="12.75">
      <c r="F23" s="132"/>
      <c r="G23" s="133"/>
      <c r="H23" s="133"/>
      <c r="I23" s="134"/>
    </row>
    <row r="24" spans="6:9" ht="12.75">
      <c r="F24" s="132"/>
      <c r="G24" s="133"/>
      <c r="H24" s="133"/>
      <c r="I24" s="134"/>
    </row>
    <row r="25" spans="6:9" ht="12.75">
      <c r="F25" s="132"/>
      <c r="G25" s="133"/>
      <c r="H25" s="133"/>
      <c r="I25" s="134"/>
    </row>
    <row r="26" spans="6:9" ht="12.75">
      <c r="F26" s="132"/>
      <c r="G26" s="133"/>
      <c r="H26" s="133"/>
      <c r="I26" s="134"/>
    </row>
    <row r="27" spans="6:9" ht="12.75">
      <c r="F27" s="132"/>
      <c r="G27" s="133"/>
      <c r="H27" s="133"/>
      <c r="I27" s="134"/>
    </row>
    <row r="28" spans="6:9" ht="12.75">
      <c r="F28" s="132"/>
      <c r="G28" s="133"/>
      <c r="H28" s="133"/>
      <c r="I28" s="134"/>
    </row>
    <row r="29" spans="6:9" ht="12.75">
      <c r="F29" s="132"/>
      <c r="G29" s="133"/>
      <c r="H29" s="133"/>
      <c r="I29" s="134"/>
    </row>
    <row r="30" spans="6:9" ht="12.75">
      <c r="F30" s="132"/>
      <c r="G30" s="133"/>
      <c r="H30" s="133"/>
      <c r="I30" s="134"/>
    </row>
    <row r="31" spans="6:9" ht="12.75">
      <c r="F31" s="132"/>
      <c r="G31" s="133"/>
      <c r="H31" s="133"/>
      <c r="I31" s="134"/>
    </row>
    <row r="32" spans="6:9" ht="12.75">
      <c r="F32" s="132"/>
      <c r="G32" s="133"/>
      <c r="H32" s="133"/>
      <c r="I32" s="134"/>
    </row>
    <row r="33" spans="6:9" ht="12.75">
      <c r="F33" s="132"/>
      <c r="G33" s="133"/>
      <c r="H33" s="133"/>
      <c r="I33" s="134"/>
    </row>
    <row r="34" spans="6:9" ht="12.75">
      <c r="F34" s="132"/>
      <c r="G34" s="133"/>
      <c r="H34" s="133"/>
      <c r="I34" s="134"/>
    </row>
    <row r="35" spans="6:9" ht="12.75">
      <c r="F35" s="132"/>
      <c r="G35" s="133"/>
      <c r="H35" s="133"/>
      <c r="I35" s="134"/>
    </row>
    <row r="36" spans="6:9" ht="12.75">
      <c r="F36" s="132"/>
      <c r="G36" s="133"/>
      <c r="H36" s="133"/>
      <c r="I36" s="134"/>
    </row>
    <row r="37" spans="6:9" ht="12.75">
      <c r="F37" s="132"/>
      <c r="G37" s="133"/>
      <c r="H37" s="133"/>
      <c r="I37" s="134"/>
    </row>
    <row r="38" spans="6:9" ht="12.75">
      <c r="F38" s="132"/>
      <c r="G38" s="133"/>
      <c r="H38" s="133"/>
      <c r="I38" s="134"/>
    </row>
    <row r="39" spans="6:9" ht="12.75">
      <c r="F39" s="132"/>
      <c r="G39" s="133"/>
      <c r="H39" s="133"/>
      <c r="I39" s="134"/>
    </row>
    <row r="40" spans="6:9" ht="12.75">
      <c r="F40" s="132"/>
      <c r="G40" s="133"/>
      <c r="H40" s="133"/>
      <c r="I40" s="134"/>
    </row>
    <row r="41" spans="6:9" ht="12.75">
      <c r="F41" s="132"/>
      <c r="G41" s="133"/>
      <c r="H41" s="133"/>
      <c r="I41" s="134"/>
    </row>
    <row r="42" spans="6:9" ht="12.75">
      <c r="F42" s="132"/>
      <c r="G42" s="133"/>
      <c r="H42" s="133"/>
      <c r="I42" s="134"/>
    </row>
    <row r="43" spans="6:9" ht="12.75">
      <c r="F43" s="132"/>
      <c r="G43" s="133"/>
      <c r="H43" s="133"/>
      <c r="I43" s="134"/>
    </row>
    <row r="44" spans="6:9" ht="12.75">
      <c r="F44" s="132"/>
      <c r="G44" s="133"/>
      <c r="H44" s="133"/>
      <c r="I44" s="134"/>
    </row>
    <row r="45" spans="6:9" ht="12.75">
      <c r="F45" s="132"/>
      <c r="G45" s="133"/>
      <c r="H45" s="133"/>
      <c r="I45" s="134"/>
    </row>
    <row r="46" spans="6:9" ht="12.75">
      <c r="F46" s="132"/>
      <c r="G46" s="133"/>
      <c r="H46" s="133"/>
      <c r="I46" s="134"/>
    </row>
    <row r="47" spans="6:9" ht="12.75">
      <c r="F47" s="132"/>
      <c r="G47" s="133"/>
      <c r="H47" s="133"/>
      <c r="I47" s="134"/>
    </row>
    <row r="48" spans="6:9" ht="12.75">
      <c r="F48" s="132"/>
      <c r="G48" s="133"/>
      <c r="H48" s="133"/>
      <c r="I48" s="134"/>
    </row>
    <row r="49" spans="6:9" ht="12.75">
      <c r="F49" s="132"/>
      <c r="G49" s="133"/>
      <c r="H49" s="133"/>
      <c r="I49" s="134"/>
    </row>
    <row r="50" spans="6:9" ht="12.75">
      <c r="F50" s="132"/>
      <c r="G50" s="133"/>
      <c r="H50" s="133"/>
      <c r="I50" s="134"/>
    </row>
    <row r="51" spans="6:9" ht="12.75">
      <c r="F51" s="132"/>
      <c r="G51" s="133"/>
      <c r="H51" s="133"/>
      <c r="I51" s="134"/>
    </row>
    <row r="52" spans="6:9" ht="12.75">
      <c r="F52" s="132"/>
      <c r="G52" s="133"/>
      <c r="H52" s="133"/>
      <c r="I52" s="134"/>
    </row>
    <row r="53" spans="6:9" ht="12.75">
      <c r="F53" s="132"/>
      <c r="G53" s="133"/>
      <c r="H53" s="133"/>
      <c r="I53" s="134"/>
    </row>
    <row r="54" spans="6:9" ht="12.75">
      <c r="F54" s="132"/>
      <c r="G54" s="133"/>
      <c r="H54" s="133"/>
      <c r="I54" s="134"/>
    </row>
    <row r="55" spans="6:9" ht="12.75">
      <c r="F55" s="132"/>
      <c r="G55" s="133"/>
      <c r="H55" s="133"/>
      <c r="I55" s="134"/>
    </row>
    <row r="56" spans="6:9" ht="12.75">
      <c r="F56" s="132"/>
      <c r="G56" s="133"/>
      <c r="H56" s="133"/>
      <c r="I56" s="134"/>
    </row>
    <row r="57" spans="6:9" ht="12.75">
      <c r="F57" s="132"/>
      <c r="G57" s="133"/>
      <c r="H57" s="133"/>
      <c r="I57" s="134"/>
    </row>
    <row r="58" spans="6:9" ht="12.75">
      <c r="F58" s="132"/>
      <c r="G58" s="133"/>
      <c r="H58" s="133"/>
      <c r="I58" s="134"/>
    </row>
    <row r="59" spans="6:9" ht="12.75">
      <c r="F59" s="132"/>
      <c r="G59" s="133"/>
      <c r="H59" s="133"/>
      <c r="I59" s="134"/>
    </row>
    <row r="60" spans="6:9" ht="12.75">
      <c r="F60" s="132"/>
      <c r="G60" s="133"/>
      <c r="H60" s="133"/>
      <c r="I60" s="134"/>
    </row>
    <row r="61" spans="6:9" ht="12.75">
      <c r="F61" s="132"/>
      <c r="G61" s="133"/>
      <c r="H61" s="133"/>
      <c r="I61" s="134"/>
    </row>
    <row r="62" spans="6:9" ht="12.75">
      <c r="F62" s="132"/>
      <c r="G62" s="133"/>
      <c r="H62" s="133"/>
      <c r="I62" s="134"/>
    </row>
    <row r="63" spans="6:9" ht="12.75">
      <c r="F63" s="132"/>
      <c r="G63" s="133"/>
      <c r="H63" s="133"/>
      <c r="I63" s="134"/>
    </row>
    <row r="64" spans="6:9" ht="12.75">
      <c r="F64" s="132"/>
      <c r="G64" s="133"/>
      <c r="H64" s="133"/>
      <c r="I64" s="134"/>
    </row>
    <row r="65" spans="6:9" ht="12.75">
      <c r="F65" s="132"/>
      <c r="G65" s="133"/>
      <c r="H65" s="133"/>
      <c r="I65" s="134"/>
    </row>
    <row r="66" spans="6:9" ht="12.75">
      <c r="F66" s="132"/>
      <c r="G66" s="133"/>
      <c r="H66" s="133"/>
      <c r="I66" s="134"/>
    </row>
    <row r="67" spans="6:9" ht="12.75">
      <c r="F67" s="132"/>
      <c r="G67" s="133"/>
      <c r="H67" s="133"/>
      <c r="I67" s="134"/>
    </row>
    <row r="68" spans="6:9" ht="12.75">
      <c r="F68" s="132"/>
      <c r="G68" s="133"/>
      <c r="H68" s="133"/>
      <c r="I68" s="134"/>
    </row>
    <row r="69" spans="6:9" ht="12.75">
      <c r="F69" s="132"/>
      <c r="G69" s="133"/>
      <c r="H69" s="133"/>
      <c r="I69" s="134"/>
    </row>
    <row r="70" spans="6:9" ht="12.75">
      <c r="F70" s="132"/>
      <c r="G70" s="133"/>
      <c r="H70" s="133"/>
      <c r="I70" s="134"/>
    </row>
  </sheetData>
  <mergeCells count="5">
    <mergeCell ref="A1:B1"/>
    <mergeCell ref="A2:B2"/>
    <mergeCell ref="G2:I2"/>
    <mergeCell ref="H19:I19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49"/>
  <sheetViews>
    <sheetView tabSelected="1" workbookViewId="0" topLeftCell="A22">
      <selection activeCell="F646" sqref="F646"/>
    </sheetView>
  </sheetViews>
  <sheetFormatPr defaultColWidth="9.125" defaultRowHeight="12.75"/>
  <cols>
    <col min="1" max="1" width="10.875" style="236" bestFit="1" customWidth="1"/>
    <col min="2" max="2" width="54.50390625" style="162" customWidth="1"/>
    <col min="3" max="3" width="5.375" style="162" bestFit="1" customWidth="1"/>
    <col min="4" max="4" width="8.00390625" style="180" bestFit="1" customWidth="1"/>
    <col min="5" max="5" width="9.00390625" style="181" bestFit="1" customWidth="1"/>
    <col min="6" max="6" width="9.50390625" style="184" customWidth="1"/>
    <col min="7" max="7" width="10.375" style="184" bestFit="1" customWidth="1"/>
    <col min="8" max="8" width="10.50390625" style="184" customWidth="1"/>
    <col min="9" max="9" width="9.50390625" style="184" bestFit="1" customWidth="1"/>
    <col min="10" max="10" width="11.00390625" style="399" customWidth="1"/>
    <col min="11" max="11" width="10.375" style="278" bestFit="1" customWidth="1"/>
    <col min="12" max="12" width="10.625" style="278" bestFit="1" customWidth="1"/>
    <col min="13" max="13" width="10.50390625" style="249" bestFit="1" customWidth="1"/>
    <col min="14" max="16384" width="9.125" style="249" customWidth="1"/>
  </cols>
  <sheetData>
    <row r="1" spans="1:9" ht="14.4" thickTop="1">
      <c r="A1" s="374"/>
      <c r="B1" s="178" t="str">
        <f>CONCATENATE(cislostavby," ",nazevstavby)</f>
        <v>2018 Renovace výsadeb a parkové kompozice  - PRVNÍ ETAPA</v>
      </c>
      <c r="C1" s="163"/>
      <c r="D1" s="179" t="s">
        <v>65</v>
      </c>
      <c r="E1" s="183" t="str">
        <f>Rekapitulace!H1</f>
        <v>02/2018</v>
      </c>
      <c r="F1" s="373"/>
      <c r="G1" s="375"/>
      <c r="H1" s="376"/>
      <c r="I1" s="187"/>
    </row>
    <row r="2" spans="1:9" ht="14.4" thickBot="1">
      <c r="A2" s="377"/>
      <c r="B2" s="164" t="str">
        <f>CONCATENATE(cisloobjektu," ",nazevobjektu)</f>
        <v>02 ČHMÚ v Praze - Komořanech</v>
      </c>
      <c r="C2" s="165"/>
      <c r="D2" s="473" t="str">
        <f>Rekapitulace!G2</f>
        <v>Renovace výsadeb ČHMU Komořany</v>
      </c>
      <c r="E2" s="474"/>
      <c r="F2" s="474"/>
      <c r="G2" s="378"/>
      <c r="H2" s="379"/>
      <c r="I2" s="290"/>
    </row>
    <row r="3" spans="7:8" ht="14.4" thickBot="1" thickTop="1">
      <c r="G3" s="211"/>
      <c r="H3" s="279"/>
    </row>
    <row r="4" spans="1:12" s="247" customFormat="1" ht="21" thickBot="1">
      <c r="A4" s="318" t="s">
        <v>66</v>
      </c>
      <c r="B4" s="319" t="s">
        <v>67</v>
      </c>
      <c r="C4" s="320" t="s">
        <v>68</v>
      </c>
      <c r="D4" s="321" t="s">
        <v>69</v>
      </c>
      <c r="E4" s="321" t="s">
        <v>70</v>
      </c>
      <c r="F4" s="322" t="s">
        <v>71</v>
      </c>
      <c r="G4" s="403" t="s">
        <v>104</v>
      </c>
      <c r="H4" s="404" t="s">
        <v>467</v>
      </c>
      <c r="I4" s="322" t="s">
        <v>466</v>
      </c>
      <c r="J4" s="405" t="s">
        <v>471</v>
      </c>
      <c r="K4" s="380"/>
      <c r="L4" s="380"/>
    </row>
    <row r="5" spans="1:9" ht="13.8" thickBot="1">
      <c r="A5" s="225"/>
      <c r="B5" s="415" t="s">
        <v>161</v>
      </c>
      <c r="C5" s="225"/>
      <c r="D5" s="414"/>
      <c r="E5" s="414"/>
      <c r="F5" s="277"/>
      <c r="G5" s="416"/>
      <c r="H5" s="416"/>
      <c r="I5" s="279">
        <f>I378</f>
        <v>0</v>
      </c>
    </row>
    <row r="6" spans="1:9" ht="13.8" thickBot="1">
      <c r="A6" s="191"/>
      <c r="B6" s="192" t="s">
        <v>107</v>
      </c>
      <c r="C6" s="193"/>
      <c r="D6" s="194"/>
      <c r="E6" s="194"/>
      <c r="F6" s="195"/>
      <c r="G6" s="294"/>
      <c r="H6" s="294"/>
      <c r="I6" s="329">
        <f>SUM(F7:F25)</f>
        <v>0</v>
      </c>
    </row>
    <row r="7" spans="1:9" ht="12.75">
      <c r="A7" s="241" t="s">
        <v>85</v>
      </c>
      <c r="B7" s="209" t="s">
        <v>179</v>
      </c>
      <c r="C7" s="205" t="s">
        <v>72</v>
      </c>
      <c r="D7" s="189">
        <v>1</v>
      </c>
      <c r="E7" s="189"/>
      <c r="F7" s="190"/>
      <c r="G7" s="293"/>
      <c r="H7" s="293"/>
      <c r="I7" s="187"/>
    </row>
    <row r="8" spans="1:9" ht="12.75">
      <c r="A8" s="237" t="s">
        <v>85</v>
      </c>
      <c r="B8" s="156" t="s">
        <v>163</v>
      </c>
      <c r="C8" s="159" t="s">
        <v>75</v>
      </c>
      <c r="D8" s="158">
        <v>187</v>
      </c>
      <c r="E8" s="158"/>
      <c r="F8" s="185"/>
      <c r="G8" s="280"/>
      <c r="H8" s="280"/>
      <c r="I8" s="187"/>
    </row>
    <row r="9" spans="1:9" ht="12.75">
      <c r="A9" s="237" t="s">
        <v>85</v>
      </c>
      <c r="B9" s="156" t="s">
        <v>164</v>
      </c>
      <c r="C9" s="159" t="s">
        <v>72</v>
      </c>
      <c r="D9" s="158">
        <v>5</v>
      </c>
      <c r="E9" s="158"/>
      <c r="F9" s="185"/>
      <c r="G9" s="280"/>
      <c r="H9" s="280"/>
      <c r="I9" s="187"/>
    </row>
    <row r="10" spans="1:9" ht="12.75">
      <c r="A10" s="237" t="s">
        <v>85</v>
      </c>
      <c r="B10" s="156" t="s">
        <v>165</v>
      </c>
      <c r="C10" s="159" t="s">
        <v>75</v>
      </c>
      <c r="D10" s="158">
        <v>53.7</v>
      </c>
      <c r="E10" s="158"/>
      <c r="F10" s="185"/>
      <c r="G10" s="280"/>
      <c r="H10" s="280"/>
      <c r="I10" s="187"/>
    </row>
    <row r="11" spans="1:9" ht="12.75">
      <c r="A11" s="237" t="s">
        <v>85</v>
      </c>
      <c r="B11" s="156" t="s">
        <v>166</v>
      </c>
      <c r="C11" s="159" t="s">
        <v>72</v>
      </c>
      <c r="D11" s="158">
        <v>5</v>
      </c>
      <c r="E11" s="158"/>
      <c r="F11" s="185"/>
      <c r="G11" s="280"/>
      <c r="H11" s="280"/>
      <c r="I11" s="187"/>
    </row>
    <row r="12" spans="1:9" ht="20.4">
      <c r="A12" s="237" t="s">
        <v>108</v>
      </c>
      <c r="B12" s="156" t="s">
        <v>162</v>
      </c>
      <c r="C12" s="159" t="s">
        <v>72</v>
      </c>
      <c r="D12" s="158">
        <v>1</v>
      </c>
      <c r="E12" s="158"/>
      <c r="F12" s="185">
        <f aca="true" t="shared" si="0" ref="F12:F24">E12*D12</f>
        <v>0</v>
      </c>
      <c r="G12" s="280"/>
      <c r="H12" s="280"/>
      <c r="I12" s="187"/>
    </row>
    <row r="13" spans="1:9" ht="12.75">
      <c r="A13" s="237" t="s">
        <v>178</v>
      </c>
      <c r="B13" s="156" t="s">
        <v>167</v>
      </c>
      <c r="C13" s="159" t="s">
        <v>72</v>
      </c>
      <c r="D13" s="158">
        <v>1</v>
      </c>
      <c r="E13" s="158"/>
      <c r="F13" s="185">
        <f t="shared" si="0"/>
        <v>0</v>
      </c>
      <c r="G13" s="280"/>
      <c r="H13" s="280"/>
      <c r="I13" s="187"/>
    </row>
    <row r="14" spans="1:9" ht="12.75">
      <c r="A14" s="237" t="s">
        <v>135</v>
      </c>
      <c r="B14" s="156" t="s">
        <v>136</v>
      </c>
      <c r="C14" s="159" t="s">
        <v>72</v>
      </c>
      <c r="D14" s="158">
        <v>1</v>
      </c>
      <c r="E14" s="158"/>
      <c r="F14" s="185">
        <f t="shared" si="0"/>
        <v>0</v>
      </c>
      <c r="G14" s="280"/>
      <c r="H14" s="280"/>
      <c r="I14" s="187"/>
    </row>
    <row r="15" spans="1:9" ht="12.75">
      <c r="A15" s="237" t="s">
        <v>82</v>
      </c>
      <c r="B15" s="156" t="s">
        <v>148</v>
      </c>
      <c r="C15" s="159" t="s">
        <v>76</v>
      </c>
      <c r="D15" s="158">
        <v>0.5</v>
      </c>
      <c r="E15" s="158"/>
      <c r="F15" s="185">
        <f t="shared" si="0"/>
        <v>0</v>
      </c>
      <c r="G15" s="280">
        <v>0.6</v>
      </c>
      <c r="H15" s="280">
        <f aca="true" t="shared" si="1" ref="H15:H24">G15*D15</f>
        <v>0.3</v>
      </c>
      <c r="I15" s="187"/>
    </row>
    <row r="16" spans="1:9" ht="20.4">
      <c r="A16" s="237" t="s">
        <v>110</v>
      </c>
      <c r="B16" s="156" t="s">
        <v>111</v>
      </c>
      <c r="C16" s="159" t="s">
        <v>75</v>
      </c>
      <c r="D16" s="158">
        <f>D8</f>
        <v>187</v>
      </c>
      <c r="E16" s="158"/>
      <c r="F16" s="185">
        <f t="shared" si="0"/>
        <v>0</v>
      </c>
      <c r="G16" s="280"/>
      <c r="H16" s="280"/>
      <c r="I16" s="187"/>
    </row>
    <row r="17" spans="1:9" ht="12.75">
      <c r="A17" s="237"/>
      <c r="B17" s="157" t="s">
        <v>109</v>
      </c>
      <c r="C17" s="159"/>
      <c r="D17" s="158"/>
      <c r="E17" s="158"/>
      <c r="F17" s="185"/>
      <c r="G17" s="280"/>
      <c r="H17" s="280"/>
      <c r="I17" s="187"/>
    </row>
    <row r="18" spans="1:10" ht="124.5" customHeight="1">
      <c r="A18" s="237" t="s">
        <v>177</v>
      </c>
      <c r="B18" s="156" t="s">
        <v>176</v>
      </c>
      <c r="C18" s="159" t="s">
        <v>72</v>
      </c>
      <c r="D18" s="158">
        <v>1</v>
      </c>
      <c r="E18" s="158"/>
      <c r="F18" s="185">
        <f>E18*D18</f>
        <v>0</v>
      </c>
      <c r="G18" s="280"/>
      <c r="H18" s="280"/>
      <c r="I18" s="475" t="s">
        <v>403</v>
      </c>
      <c r="J18" s="476"/>
    </row>
    <row r="19" spans="1:9" ht="20.4">
      <c r="A19" s="237" t="s">
        <v>112</v>
      </c>
      <c r="B19" s="156" t="s">
        <v>379</v>
      </c>
      <c r="C19" s="159" t="s">
        <v>72</v>
      </c>
      <c r="D19" s="158">
        <v>1</v>
      </c>
      <c r="E19" s="158"/>
      <c r="F19" s="185">
        <f aca="true" t="shared" si="2" ref="F19:F21">E19*D19</f>
        <v>0</v>
      </c>
      <c r="G19" s="280"/>
      <c r="H19" s="280"/>
      <c r="I19" s="187"/>
    </row>
    <row r="20" spans="1:9" ht="20.4">
      <c r="A20" s="237" t="s">
        <v>174</v>
      </c>
      <c r="B20" s="156" t="s">
        <v>380</v>
      </c>
      <c r="C20" s="159" t="s">
        <v>72</v>
      </c>
      <c r="D20" s="158">
        <v>2</v>
      </c>
      <c r="E20" s="158"/>
      <c r="F20" s="185">
        <f t="shared" si="2"/>
        <v>0</v>
      </c>
      <c r="G20" s="280"/>
      <c r="H20" s="280"/>
      <c r="I20" s="187"/>
    </row>
    <row r="21" spans="1:9" ht="20.4">
      <c r="A21" s="237" t="s">
        <v>175</v>
      </c>
      <c r="B21" s="156" t="s">
        <v>381</v>
      </c>
      <c r="C21" s="159" t="s">
        <v>72</v>
      </c>
      <c r="D21" s="158">
        <v>1</v>
      </c>
      <c r="E21" s="158"/>
      <c r="F21" s="185">
        <f t="shared" si="2"/>
        <v>0</v>
      </c>
      <c r="G21" s="280"/>
      <c r="H21" s="280"/>
      <c r="I21" s="187"/>
    </row>
    <row r="22" spans="1:9" ht="12.75">
      <c r="A22" s="237" t="s">
        <v>113</v>
      </c>
      <c r="B22" s="156" t="s">
        <v>325</v>
      </c>
      <c r="C22" s="159" t="s">
        <v>137</v>
      </c>
      <c r="D22" s="158">
        <f>D10</f>
        <v>53.7</v>
      </c>
      <c r="E22" s="158"/>
      <c r="F22" s="185">
        <f t="shared" si="0"/>
        <v>0</v>
      </c>
      <c r="G22" s="280"/>
      <c r="H22" s="280"/>
      <c r="I22" s="187"/>
    </row>
    <row r="23" spans="1:9" ht="20.4">
      <c r="A23" s="237" t="s">
        <v>168</v>
      </c>
      <c r="B23" s="156" t="s">
        <v>169</v>
      </c>
      <c r="C23" s="159" t="s">
        <v>72</v>
      </c>
      <c r="D23" s="158">
        <v>5</v>
      </c>
      <c r="E23" s="158"/>
      <c r="F23" s="185">
        <f t="shared" si="0"/>
        <v>0</v>
      </c>
      <c r="G23" s="280">
        <v>0.15</v>
      </c>
      <c r="H23" s="280">
        <f t="shared" si="1"/>
        <v>0.75</v>
      </c>
      <c r="I23" s="187"/>
    </row>
    <row r="24" spans="1:9" ht="12.75">
      <c r="A24" s="237" t="s">
        <v>82</v>
      </c>
      <c r="B24" s="156" t="s">
        <v>149</v>
      </c>
      <c r="C24" s="159" t="s">
        <v>76</v>
      </c>
      <c r="D24" s="173">
        <f>(D22*0.03)+((D16*0.03))</f>
        <v>7.220999999999999</v>
      </c>
      <c r="E24" s="158"/>
      <c r="F24" s="185">
        <f t="shared" si="0"/>
        <v>0</v>
      </c>
      <c r="G24" s="280">
        <v>0.5</v>
      </c>
      <c r="H24" s="280">
        <f t="shared" si="1"/>
        <v>3.6104999999999996</v>
      </c>
      <c r="I24" s="187"/>
    </row>
    <row r="25" spans="1:9" ht="12.75">
      <c r="A25" s="237" t="s">
        <v>100</v>
      </c>
      <c r="B25" s="156" t="s">
        <v>101</v>
      </c>
      <c r="C25" s="159" t="s">
        <v>77</v>
      </c>
      <c r="D25" s="158">
        <f>H25</f>
        <v>4.6605</v>
      </c>
      <c r="E25" s="158"/>
      <c r="F25" s="185">
        <f>E25*D25</f>
        <v>0</v>
      </c>
      <c r="G25" s="280"/>
      <c r="H25" s="280">
        <f>SUM(H5:H24)</f>
        <v>4.6605</v>
      </c>
      <c r="I25" s="187"/>
    </row>
    <row r="26" spans="1:10" ht="13.8" thickBot="1">
      <c r="A26" s="238" t="s">
        <v>73</v>
      </c>
      <c r="B26" s="172" t="str">
        <f>CONCATENATE(A6," ",B6)</f>
        <v xml:space="preserve"> Kácení a odstraňování dřevin</v>
      </c>
      <c r="C26" s="167"/>
      <c r="D26" s="173"/>
      <c r="E26" s="173"/>
      <c r="F26" s="186">
        <f>SUM(F7:F25)</f>
        <v>0</v>
      </c>
      <c r="G26" s="280"/>
      <c r="H26" s="280"/>
      <c r="I26" s="291"/>
      <c r="J26" s="400"/>
    </row>
    <row r="27" spans="1:9" ht="13.8" thickBot="1">
      <c r="A27" s="295"/>
      <c r="B27" s="192" t="s">
        <v>141</v>
      </c>
      <c r="C27" s="193"/>
      <c r="D27" s="194"/>
      <c r="E27" s="194"/>
      <c r="F27" s="195"/>
      <c r="G27" s="294"/>
      <c r="H27" s="294"/>
      <c r="I27" s="329">
        <f>SUM(F28:F54)</f>
        <v>0</v>
      </c>
    </row>
    <row r="28" spans="1:9" ht="12.75">
      <c r="A28" s="241" t="s">
        <v>85</v>
      </c>
      <c r="B28" s="209" t="s">
        <v>150</v>
      </c>
      <c r="C28" s="205" t="s">
        <v>75</v>
      </c>
      <c r="D28" s="426">
        <f>SUM(D29:D31)</f>
        <v>1029</v>
      </c>
      <c r="E28" s="390"/>
      <c r="F28" s="190"/>
      <c r="G28" s="293"/>
      <c r="H28" s="293"/>
      <c r="I28" s="187"/>
    </row>
    <row r="29" spans="1:9" ht="12.75">
      <c r="A29" s="237" t="s">
        <v>85</v>
      </c>
      <c r="B29" s="156" t="s">
        <v>189</v>
      </c>
      <c r="C29" s="159" t="s">
        <v>75</v>
      </c>
      <c r="D29" s="168">
        <v>694</v>
      </c>
      <c r="E29" s="158"/>
      <c r="F29" s="185"/>
      <c r="G29" s="280"/>
      <c r="H29" s="280"/>
      <c r="I29" s="187"/>
    </row>
    <row r="30" spans="1:9" ht="12.75">
      <c r="A30" s="237" t="s">
        <v>85</v>
      </c>
      <c r="B30" s="156" t="s">
        <v>190</v>
      </c>
      <c r="C30" s="159" t="s">
        <v>75</v>
      </c>
      <c r="D30" s="168">
        <f>315</f>
        <v>315</v>
      </c>
      <c r="E30" s="158"/>
      <c r="F30" s="185"/>
      <c r="G30" s="280"/>
      <c r="H30" s="280"/>
      <c r="I30" s="187"/>
    </row>
    <row r="31" spans="1:9" ht="12.75">
      <c r="A31" s="237" t="s">
        <v>85</v>
      </c>
      <c r="B31" s="156" t="s">
        <v>180</v>
      </c>
      <c r="C31" s="159" t="s">
        <v>75</v>
      </c>
      <c r="D31" s="168">
        <v>20</v>
      </c>
      <c r="E31" s="158"/>
      <c r="F31" s="185"/>
      <c r="G31" s="280"/>
      <c r="H31" s="280"/>
      <c r="I31" s="187"/>
    </row>
    <row r="32" spans="1:9" ht="12.75">
      <c r="A32" s="237" t="s">
        <v>85</v>
      </c>
      <c r="B32" s="156"/>
      <c r="C32" s="159"/>
      <c r="D32" s="168"/>
      <c r="E32" s="158"/>
      <c r="F32" s="185"/>
      <c r="G32" s="280"/>
      <c r="H32" s="280"/>
      <c r="I32" s="187"/>
    </row>
    <row r="33" spans="1:9" ht="12.75">
      <c r="A33" s="237" t="s">
        <v>85</v>
      </c>
      <c r="B33" s="156" t="s">
        <v>181</v>
      </c>
      <c r="C33" s="159" t="s">
        <v>75</v>
      </c>
      <c r="D33" s="168"/>
      <c r="E33" s="168"/>
      <c r="F33" s="185"/>
      <c r="G33" s="280"/>
      <c r="H33" s="280"/>
      <c r="I33" s="187"/>
    </row>
    <row r="34" spans="1:9" ht="12.75">
      <c r="A34" s="237" t="s">
        <v>85</v>
      </c>
      <c r="B34" s="156" t="s">
        <v>182</v>
      </c>
      <c r="C34" s="159" t="s">
        <v>75</v>
      </c>
      <c r="D34" s="168"/>
      <c r="E34" s="168"/>
      <c r="F34" s="185"/>
      <c r="G34" s="280"/>
      <c r="H34" s="280"/>
      <c r="I34" s="187"/>
    </row>
    <row r="35" spans="1:9" ht="12.75">
      <c r="A35" s="237" t="s">
        <v>85</v>
      </c>
      <c r="B35" s="156" t="s">
        <v>183</v>
      </c>
      <c r="C35" s="159" t="s">
        <v>75</v>
      </c>
      <c r="D35" s="168"/>
      <c r="E35" s="168"/>
      <c r="F35" s="185"/>
      <c r="G35" s="280"/>
      <c r="H35" s="280"/>
      <c r="I35" s="187"/>
    </row>
    <row r="36" spans="1:9" ht="12.75">
      <c r="A36" s="237" t="s">
        <v>85</v>
      </c>
      <c r="B36" s="156" t="s">
        <v>184</v>
      </c>
      <c r="C36" s="159" t="s">
        <v>75</v>
      </c>
      <c r="D36" s="168"/>
      <c r="E36" s="168"/>
      <c r="F36" s="185"/>
      <c r="G36" s="280"/>
      <c r="H36" s="280"/>
      <c r="I36" s="187"/>
    </row>
    <row r="37" spans="1:9" ht="12.75">
      <c r="A37" s="237" t="s">
        <v>85</v>
      </c>
      <c r="B37" s="156" t="s">
        <v>185</v>
      </c>
      <c r="C37" s="159" t="s">
        <v>75</v>
      </c>
      <c r="D37" s="168"/>
      <c r="E37" s="168"/>
      <c r="F37" s="185"/>
      <c r="G37" s="280"/>
      <c r="H37" s="280"/>
      <c r="I37" s="187"/>
    </row>
    <row r="38" spans="1:9" ht="12.75">
      <c r="A38" s="237" t="s">
        <v>85</v>
      </c>
      <c r="B38" s="156" t="s">
        <v>186</v>
      </c>
      <c r="C38" s="159" t="s">
        <v>75</v>
      </c>
      <c r="D38" s="168"/>
      <c r="E38" s="168"/>
      <c r="F38" s="185"/>
      <c r="G38" s="280"/>
      <c r="H38" s="280"/>
      <c r="I38" s="187"/>
    </row>
    <row r="39" spans="1:12" ht="51">
      <c r="A39" s="237" t="s">
        <v>85</v>
      </c>
      <c r="B39" s="156" t="s">
        <v>360</v>
      </c>
      <c r="C39" s="159" t="s">
        <v>75</v>
      </c>
      <c r="D39" s="168"/>
      <c r="E39" s="168"/>
      <c r="F39" s="185"/>
      <c r="G39" s="280"/>
      <c r="H39" s="280"/>
      <c r="I39" s="187"/>
      <c r="J39" s="399" t="s">
        <v>435</v>
      </c>
      <c r="K39" s="249"/>
      <c r="L39" s="249"/>
    </row>
    <row r="40" spans="1:9" ht="12.75">
      <c r="A40" s="237" t="s">
        <v>85</v>
      </c>
      <c r="B40" s="156" t="s">
        <v>188</v>
      </c>
      <c r="C40" s="159" t="s">
        <v>75</v>
      </c>
      <c r="D40" s="168"/>
      <c r="E40" s="168"/>
      <c r="F40" s="185"/>
      <c r="G40" s="280"/>
      <c r="H40" s="280"/>
      <c r="I40" s="187"/>
    </row>
    <row r="41" spans="1:9" ht="12.75">
      <c r="A41" s="237"/>
      <c r="B41" s="156"/>
      <c r="C41" s="159"/>
      <c r="D41" s="168"/>
      <c r="E41" s="168"/>
      <c r="F41" s="185"/>
      <c r="G41" s="280"/>
      <c r="H41" s="280"/>
      <c r="I41" s="187"/>
    </row>
    <row r="42" spans="1:9" ht="12.75">
      <c r="A42" s="237"/>
      <c r="B42" s="156" t="s">
        <v>115</v>
      </c>
      <c r="C42" s="159" t="s">
        <v>75</v>
      </c>
      <c r="D42" s="158">
        <f>D28</f>
        <v>1029</v>
      </c>
      <c r="E42" s="158"/>
      <c r="F42" s="185"/>
      <c r="G42" s="280"/>
      <c r="H42" s="280"/>
      <c r="I42" s="187"/>
    </row>
    <row r="43" spans="1:9" ht="12.75">
      <c r="A43" s="237" t="s">
        <v>79</v>
      </c>
      <c r="B43" s="156" t="s">
        <v>151</v>
      </c>
      <c r="C43" s="159" t="s">
        <v>75</v>
      </c>
      <c r="D43" s="158">
        <f>D42</f>
        <v>1029</v>
      </c>
      <c r="E43" s="158"/>
      <c r="F43" s="185">
        <f aca="true" t="shared" si="3" ref="F43:F121">E43*D43</f>
        <v>0</v>
      </c>
      <c r="G43" s="280"/>
      <c r="H43" s="280"/>
      <c r="I43" s="187"/>
    </row>
    <row r="44" spans="1:9" ht="12.75">
      <c r="A44" s="237" t="s">
        <v>138</v>
      </c>
      <c r="B44" s="156" t="s">
        <v>300</v>
      </c>
      <c r="C44" s="159" t="s">
        <v>75</v>
      </c>
      <c r="D44" s="158">
        <f>D42/3*2*2</f>
        <v>1372</v>
      </c>
      <c r="E44" s="158"/>
      <c r="F44" s="185">
        <f t="shared" si="3"/>
        <v>0</v>
      </c>
      <c r="G44" s="280"/>
      <c r="H44" s="280"/>
      <c r="I44" s="187"/>
    </row>
    <row r="45" spans="1:9" ht="12.75">
      <c r="A45" s="237" t="s">
        <v>86</v>
      </c>
      <c r="B45" s="156" t="s">
        <v>119</v>
      </c>
      <c r="C45" s="159" t="s">
        <v>106</v>
      </c>
      <c r="D45" s="158">
        <f>(D44/100)*0.2</f>
        <v>2.744</v>
      </c>
      <c r="E45" s="158"/>
      <c r="F45" s="185">
        <f t="shared" si="3"/>
        <v>0</v>
      </c>
      <c r="G45" s="280"/>
      <c r="H45" s="280"/>
      <c r="I45" s="187"/>
    </row>
    <row r="46" spans="1:9" ht="12.75">
      <c r="A46" s="237" t="s">
        <v>85</v>
      </c>
      <c r="B46" s="156" t="s">
        <v>116</v>
      </c>
      <c r="C46" s="159"/>
      <c r="D46" s="158"/>
      <c r="E46" s="158"/>
      <c r="F46" s="185"/>
      <c r="G46" s="280"/>
      <c r="H46" s="280"/>
      <c r="I46" s="187"/>
    </row>
    <row r="47" spans="1:9" ht="12.75">
      <c r="A47" s="237" t="s">
        <v>82</v>
      </c>
      <c r="B47" s="156" t="s">
        <v>320</v>
      </c>
      <c r="C47" s="159" t="s">
        <v>76</v>
      </c>
      <c r="D47" s="158">
        <f>D42/2*0.03</f>
        <v>15.434999999999999</v>
      </c>
      <c r="E47" s="158"/>
      <c r="F47" s="185">
        <f t="shared" si="3"/>
        <v>0</v>
      </c>
      <c r="G47" s="280">
        <v>0.8</v>
      </c>
      <c r="H47" s="280">
        <f aca="true" t="shared" si="4" ref="H47">G47*D47</f>
        <v>12.347999999999999</v>
      </c>
      <c r="I47" s="187"/>
    </row>
    <row r="48" spans="1:9" ht="12.75">
      <c r="A48" s="237" t="s">
        <v>83</v>
      </c>
      <c r="B48" s="156" t="s">
        <v>84</v>
      </c>
      <c r="C48" s="159" t="s">
        <v>75</v>
      </c>
      <c r="D48" s="158">
        <f>D42*0.5</f>
        <v>514.5</v>
      </c>
      <c r="E48" s="158"/>
      <c r="F48" s="185">
        <f t="shared" si="3"/>
        <v>0</v>
      </c>
      <c r="G48" s="280"/>
      <c r="H48" s="280"/>
      <c r="I48" s="187"/>
    </row>
    <row r="49" spans="1:9" ht="12.75">
      <c r="A49" s="237" t="s">
        <v>85</v>
      </c>
      <c r="B49" s="157" t="s">
        <v>134</v>
      </c>
      <c r="C49" s="159" t="s">
        <v>75</v>
      </c>
      <c r="D49" s="173">
        <f>SUM(E33:E39)</f>
        <v>0</v>
      </c>
      <c r="E49" s="158"/>
      <c r="F49" s="185"/>
      <c r="G49" s="280"/>
      <c r="H49" s="280"/>
      <c r="I49" s="187"/>
    </row>
    <row r="50" spans="1:9" ht="20.4">
      <c r="A50" s="237" t="s">
        <v>118</v>
      </c>
      <c r="B50" s="156" t="s">
        <v>117</v>
      </c>
      <c r="C50" s="159" t="s">
        <v>75</v>
      </c>
      <c r="D50" s="158">
        <f>D30+D31</f>
        <v>335</v>
      </c>
      <c r="E50" s="158"/>
      <c r="F50" s="185">
        <f t="shared" si="3"/>
        <v>0</v>
      </c>
      <c r="G50" s="280"/>
      <c r="H50" s="280"/>
      <c r="I50" s="187"/>
    </row>
    <row r="51" spans="1:9" ht="12.75">
      <c r="A51" s="237" t="s">
        <v>85</v>
      </c>
      <c r="B51" s="157" t="str">
        <f>B29</f>
        <v>JTÚ do 5 cm trávník</v>
      </c>
      <c r="C51" s="159" t="s">
        <v>75</v>
      </c>
      <c r="D51" s="173">
        <f>E40</f>
        <v>0</v>
      </c>
      <c r="E51" s="158"/>
      <c r="F51" s="185"/>
      <c r="G51" s="280"/>
      <c r="H51" s="280"/>
      <c r="I51" s="187"/>
    </row>
    <row r="52" spans="1:9" ht="12.75">
      <c r="A52" s="237" t="s">
        <v>191</v>
      </c>
      <c r="B52" s="156" t="s">
        <v>192</v>
      </c>
      <c r="C52" s="159" t="s">
        <v>75</v>
      </c>
      <c r="D52" s="158">
        <f>D51</f>
        <v>0</v>
      </c>
      <c r="E52" s="158"/>
      <c r="F52" s="185"/>
      <c r="G52" s="280"/>
      <c r="H52" s="280"/>
      <c r="I52" s="187"/>
    </row>
    <row r="53" spans="1:9" ht="12.75">
      <c r="A53" s="237" t="s">
        <v>85</v>
      </c>
      <c r="B53" s="156" t="s">
        <v>317</v>
      </c>
      <c r="C53" s="159"/>
      <c r="D53" s="158"/>
      <c r="E53" s="158"/>
      <c r="F53" s="185"/>
      <c r="G53" s="280"/>
      <c r="H53" s="280"/>
      <c r="I53" s="187"/>
    </row>
    <row r="54" spans="1:9" ht="12.75">
      <c r="A54" s="237" t="s">
        <v>100</v>
      </c>
      <c r="B54" s="156" t="s">
        <v>101</v>
      </c>
      <c r="C54" s="159" t="s">
        <v>77</v>
      </c>
      <c r="D54" s="158">
        <f>H54</f>
        <v>12.347999999999999</v>
      </c>
      <c r="E54" s="158"/>
      <c r="F54" s="185">
        <f>E54*D54</f>
        <v>0</v>
      </c>
      <c r="G54" s="280"/>
      <c r="H54" s="280">
        <f>SUM(H28:H53)</f>
        <v>12.347999999999999</v>
      </c>
      <c r="I54" s="187"/>
    </row>
    <row r="55" spans="1:10" ht="13.8" thickBot="1">
      <c r="A55" s="238" t="s">
        <v>73</v>
      </c>
      <c r="B55" s="172" t="str">
        <f>CONCATENATE(A27," ",B27)</f>
        <v xml:space="preserve"> Úprava terénu HTÚ</v>
      </c>
      <c r="C55" s="167"/>
      <c r="D55" s="173"/>
      <c r="E55" s="173"/>
      <c r="F55" s="186">
        <f>SUM(F27:F54)</f>
        <v>0</v>
      </c>
      <c r="G55" s="280"/>
      <c r="H55" s="280"/>
      <c r="I55" s="291"/>
      <c r="J55" s="400"/>
    </row>
    <row r="56" spans="1:9" ht="13.8" thickBot="1">
      <c r="A56" s="295"/>
      <c r="B56" s="192" t="s">
        <v>319</v>
      </c>
      <c r="C56" s="193"/>
      <c r="D56" s="194"/>
      <c r="E56" s="194"/>
      <c r="F56" s="195"/>
      <c r="G56" s="294"/>
      <c r="H56" s="294"/>
      <c r="I56" s="329"/>
    </row>
    <row r="57" spans="1:9" ht="13.8" thickBot="1">
      <c r="A57" s="296"/>
      <c r="B57" s="297" t="s">
        <v>386</v>
      </c>
      <c r="C57" s="298"/>
      <c r="D57" s="299"/>
      <c r="E57" s="299"/>
      <c r="F57" s="300"/>
      <c r="G57" s="301"/>
      <c r="H57" s="301"/>
      <c r="I57" s="381">
        <f>SUM(F58:F91)</f>
        <v>0</v>
      </c>
    </row>
    <row r="58" spans="1:9" ht="12.75">
      <c r="A58" s="241" t="s">
        <v>86</v>
      </c>
      <c r="B58" s="383" t="s">
        <v>228</v>
      </c>
      <c r="C58" s="177" t="s">
        <v>194</v>
      </c>
      <c r="D58" s="189">
        <v>1</v>
      </c>
      <c r="E58" s="189"/>
      <c r="F58" s="190">
        <f t="shared" si="3"/>
        <v>0</v>
      </c>
      <c r="G58" s="293">
        <v>0.28</v>
      </c>
      <c r="H58" s="293">
        <f aca="true" t="shared" si="5" ref="H58:H89">G58*D58</f>
        <v>0.28</v>
      </c>
      <c r="I58" s="187"/>
    </row>
    <row r="59" spans="1:12" ht="30.6">
      <c r="A59" s="237" t="s">
        <v>86</v>
      </c>
      <c r="B59" s="384" t="s">
        <v>193</v>
      </c>
      <c r="C59" s="166" t="s">
        <v>194</v>
      </c>
      <c r="D59" s="158">
        <v>1</v>
      </c>
      <c r="E59" s="158"/>
      <c r="F59" s="190">
        <f t="shared" si="3"/>
        <v>0</v>
      </c>
      <c r="G59" s="280">
        <v>0.28</v>
      </c>
      <c r="H59" s="280">
        <f t="shared" si="5"/>
        <v>0.28</v>
      </c>
      <c r="I59" s="187"/>
      <c r="J59" s="399" t="s">
        <v>436</v>
      </c>
      <c r="K59" s="249"/>
      <c r="L59" s="249"/>
    </row>
    <row r="60" spans="1:9" ht="12.75">
      <c r="A60" s="237"/>
      <c r="B60" s="157" t="s">
        <v>326</v>
      </c>
      <c r="C60" s="159" t="s">
        <v>72</v>
      </c>
      <c r="D60" s="173">
        <f>SUM(D58:D59)</f>
        <v>2</v>
      </c>
      <c r="E60" s="158"/>
      <c r="F60" s="185"/>
      <c r="G60" s="280"/>
      <c r="H60" s="280"/>
      <c r="I60" s="187"/>
    </row>
    <row r="61" spans="1:9" ht="12.75">
      <c r="A61" s="237" t="s">
        <v>85</v>
      </c>
      <c r="B61" s="156" t="s">
        <v>404</v>
      </c>
      <c r="C61" s="159" t="s">
        <v>72</v>
      </c>
      <c r="D61" s="158">
        <f>D60</f>
        <v>2</v>
      </c>
      <c r="E61" s="158"/>
      <c r="F61" s="185"/>
      <c r="G61" s="280"/>
      <c r="H61" s="280"/>
      <c r="I61" s="187"/>
    </row>
    <row r="62" spans="1:9" ht="12.75">
      <c r="A62" s="237" t="s">
        <v>85</v>
      </c>
      <c r="B62" s="156" t="s">
        <v>327</v>
      </c>
      <c r="C62" s="159" t="s">
        <v>72</v>
      </c>
      <c r="D62" s="158">
        <f>D61</f>
        <v>2</v>
      </c>
      <c r="E62" s="158"/>
      <c r="F62" s="185"/>
      <c r="G62" s="280"/>
      <c r="H62" s="280"/>
      <c r="I62" s="187"/>
    </row>
    <row r="63" spans="1:9" ht="12.75">
      <c r="A63" s="237" t="s">
        <v>85</v>
      </c>
      <c r="B63" s="156" t="s">
        <v>328</v>
      </c>
      <c r="C63" s="159" t="s">
        <v>72</v>
      </c>
      <c r="D63" s="158">
        <f>D61</f>
        <v>2</v>
      </c>
      <c r="E63" s="158"/>
      <c r="F63" s="185"/>
      <c r="G63" s="280"/>
      <c r="H63" s="280"/>
      <c r="I63" s="187"/>
    </row>
    <row r="64" spans="1:9" ht="12.75">
      <c r="A64" s="237" t="s">
        <v>79</v>
      </c>
      <c r="B64" s="156" t="s">
        <v>329</v>
      </c>
      <c r="C64" s="159" t="s">
        <v>72</v>
      </c>
      <c r="D64" s="158">
        <v>0.5</v>
      </c>
      <c r="E64" s="158"/>
      <c r="F64" s="185">
        <f t="shared" si="3"/>
        <v>0</v>
      </c>
      <c r="G64" s="280"/>
      <c r="H64" s="280"/>
      <c r="I64" s="187"/>
    </row>
    <row r="65" spans="1:9" ht="12.75">
      <c r="A65" s="237" t="s">
        <v>330</v>
      </c>
      <c r="B65" s="156" t="s">
        <v>331</v>
      </c>
      <c r="C65" s="159" t="s">
        <v>72</v>
      </c>
      <c r="D65" s="173">
        <f>D61</f>
        <v>2</v>
      </c>
      <c r="E65" s="158"/>
      <c r="F65" s="185">
        <f t="shared" si="3"/>
        <v>0</v>
      </c>
      <c r="G65" s="280"/>
      <c r="H65" s="280"/>
      <c r="I65" s="187"/>
    </row>
    <row r="66" spans="1:9" ht="12.75">
      <c r="A66" s="237" t="s">
        <v>79</v>
      </c>
      <c r="B66" s="156" t="s">
        <v>332</v>
      </c>
      <c r="C66" s="159" t="s">
        <v>72</v>
      </c>
      <c r="D66" s="158">
        <f>D63</f>
        <v>2</v>
      </c>
      <c r="E66" s="158"/>
      <c r="F66" s="185">
        <f t="shared" si="3"/>
        <v>0</v>
      </c>
      <c r="G66" s="280"/>
      <c r="H66" s="280"/>
      <c r="I66" s="187"/>
    </row>
    <row r="67" spans="1:9" ht="20.4">
      <c r="A67" s="237" t="s">
        <v>333</v>
      </c>
      <c r="B67" s="156" t="s">
        <v>334</v>
      </c>
      <c r="C67" s="159" t="s">
        <v>72</v>
      </c>
      <c r="D67" s="158">
        <f>D61</f>
        <v>2</v>
      </c>
      <c r="E67" s="158"/>
      <c r="F67" s="185">
        <f t="shared" si="3"/>
        <v>0</v>
      </c>
      <c r="G67" s="280"/>
      <c r="H67" s="280"/>
      <c r="I67" s="187"/>
    </row>
    <row r="68" spans="1:9" ht="12.75">
      <c r="A68" s="237" t="s">
        <v>85</v>
      </c>
      <c r="B68" s="156" t="s">
        <v>335</v>
      </c>
      <c r="C68" s="159"/>
      <c r="D68" s="158"/>
      <c r="E68" s="158"/>
      <c r="F68" s="185"/>
      <c r="G68" s="280"/>
      <c r="H68" s="280"/>
      <c r="I68" s="187"/>
    </row>
    <row r="69" spans="1:9" ht="20.4">
      <c r="A69" s="237" t="s">
        <v>79</v>
      </c>
      <c r="B69" s="156" t="s">
        <v>336</v>
      </c>
      <c r="C69" s="159" t="s">
        <v>72</v>
      </c>
      <c r="D69" s="158">
        <f>D65</f>
        <v>2</v>
      </c>
      <c r="E69" s="158"/>
      <c r="F69" s="185">
        <f t="shared" si="3"/>
        <v>0</v>
      </c>
      <c r="G69" s="280"/>
      <c r="H69" s="280"/>
      <c r="I69" s="187"/>
    </row>
    <row r="70" spans="1:9" ht="12.75">
      <c r="A70" s="237" t="s">
        <v>86</v>
      </c>
      <c r="B70" s="156" t="s">
        <v>349</v>
      </c>
      <c r="C70" s="159" t="s">
        <v>76</v>
      </c>
      <c r="D70" s="158">
        <f>1.2*0.1*D72</f>
        <v>0.24</v>
      </c>
      <c r="E70" s="158"/>
      <c r="F70" s="185">
        <f t="shared" si="3"/>
        <v>0</v>
      </c>
      <c r="G70" s="280"/>
      <c r="H70" s="280"/>
      <c r="I70" s="187"/>
    </row>
    <row r="71" spans="1:9" ht="12.75">
      <c r="A71" s="237" t="s">
        <v>79</v>
      </c>
      <c r="B71" s="156" t="s">
        <v>337</v>
      </c>
      <c r="C71" s="159" t="s">
        <v>105</v>
      </c>
      <c r="D71" s="158">
        <f>(D61)*1.2</f>
        <v>2.4</v>
      </c>
      <c r="E71" s="158"/>
      <c r="F71" s="185">
        <f t="shared" si="3"/>
        <v>0</v>
      </c>
      <c r="G71" s="280"/>
      <c r="H71" s="280"/>
      <c r="I71" s="187"/>
    </row>
    <row r="72" spans="1:9" ht="20.4">
      <c r="A72" s="237" t="s">
        <v>338</v>
      </c>
      <c r="B72" s="156" t="s">
        <v>339</v>
      </c>
      <c r="C72" s="159" t="s">
        <v>72</v>
      </c>
      <c r="D72" s="158">
        <f>D67</f>
        <v>2</v>
      </c>
      <c r="E72" s="158"/>
      <c r="F72" s="185">
        <f t="shared" si="3"/>
        <v>0</v>
      </c>
      <c r="G72" s="280"/>
      <c r="H72" s="280"/>
      <c r="I72" s="187"/>
    </row>
    <row r="73" spans="1:9" ht="12.75">
      <c r="A73" s="237" t="s">
        <v>340</v>
      </c>
      <c r="B73" s="156" t="s">
        <v>341</v>
      </c>
      <c r="C73" s="159" t="s">
        <v>72</v>
      </c>
      <c r="D73" s="158">
        <f>D61</f>
        <v>2</v>
      </c>
      <c r="E73" s="158"/>
      <c r="F73" s="185">
        <f t="shared" si="3"/>
        <v>0</v>
      </c>
      <c r="G73" s="280"/>
      <c r="H73" s="280"/>
      <c r="I73" s="187"/>
    </row>
    <row r="74" spans="1:9" ht="12.75">
      <c r="A74" s="237" t="s">
        <v>86</v>
      </c>
      <c r="B74" s="156" t="s">
        <v>342</v>
      </c>
      <c r="C74" s="159" t="s">
        <v>72</v>
      </c>
      <c r="D74" s="158">
        <f>D60</f>
        <v>2</v>
      </c>
      <c r="E74" s="158"/>
      <c r="F74" s="185">
        <f t="shared" si="3"/>
        <v>0</v>
      </c>
      <c r="G74" s="280">
        <v>0.003</v>
      </c>
      <c r="H74" s="280">
        <f t="shared" si="5"/>
        <v>0.006</v>
      </c>
      <c r="I74" s="187"/>
    </row>
    <row r="75" spans="1:9" ht="20.4">
      <c r="A75" s="237" t="s">
        <v>343</v>
      </c>
      <c r="B75" s="176" t="s">
        <v>344</v>
      </c>
      <c r="C75" s="159" t="s">
        <v>72</v>
      </c>
      <c r="D75" s="158">
        <f>D62</f>
        <v>2</v>
      </c>
      <c r="E75" s="158"/>
      <c r="F75" s="185">
        <f t="shared" si="3"/>
        <v>0</v>
      </c>
      <c r="G75" s="280"/>
      <c r="H75" s="280"/>
      <c r="I75" s="187"/>
    </row>
    <row r="76" spans="1:9" ht="12.75">
      <c r="A76" s="237" t="s">
        <v>86</v>
      </c>
      <c r="B76" s="156" t="s">
        <v>357</v>
      </c>
      <c r="C76" s="159" t="s">
        <v>72</v>
      </c>
      <c r="D76" s="158">
        <f>10*D65</f>
        <v>20</v>
      </c>
      <c r="E76" s="158"/>
      <c r="F76" s="185">
        <f t="shared" si="3"/>
        <v>0</v>
      </c>
      <c r="G76" s="280"/>
      <c r="H76" s="280"/>
      <c r="I76" s="187"/>
    </row>
    <row r="77" spans="1:9" ht="12.75">
      <c r="A77" s="237" t="s">
        <v>95</v>
      </c>
      <c r="B77" s="156" t="s">
        <v>124</v>
      </c>
      <c r="C77" s="159" t="s">
        <v>77</v>
      </c>
      <c r="D77" s="412">
        <f>D76/100000</f>
        <v>0.0002</v>
      </c>
      <c r="E77" s="158"/>
      <c r="F77" s="185">
        <f t="shared" si="3"/>
        <v>0</v>
      </c>
      <c r="G77" s="280"/>
      <c r="H77" s="280">
        <f>D77</f>
        <v>0.0002</v>
      </c>
      <c r="I77" s="187"/>
    </row>
    <row r="78" spans="1:9" ht="12.75">
      <c r="A78" s="237" t="s">
        <v>121</v>
      </c>
      <c r="B78" s="156" t="s">
        <v>147</v>
      </c>
      <c r="C78" s="159" t="s">
        <v>75</v>
      </c>
      <c r="D78" s="158">
        <f>D60*1.5</f>
        <v>3</v>
      </c>
      <c r="E78" s="158"/>
      <c r="F78" s="185">
        <f t="shared" si="3"/>
        <v>0</v>
      </c>
      <c r="G78" s="280"/>
      <c r="H78" s="280"/>
      <c r="I78" s="187"/>
    </row>
    <row r="79" spans="1:9" ht="12.75">
      <c r="A79" s="237" t="s">
        <v>86</v>
      </c>
      <c r="B79" s="156" t="s">
        <v>345</v>
      </c>
      <c r="C79" s="159" t="s">
        <v>76</v>
      </c>
      <c r="D79" s="158">
        <f>D58*0.07*1.5*1.05</f>
        <v>0.11025000000000001</v>
      </c>
      <c r="E79" s="158"/>
      <c r="F79" s="185">
        <f t="shared" si="3"/>
        <v>0</v>
      </c>
      <c r="G79" s="280">
        <v>0.7</v>
      </c>
      <c r="H79" s="280">
        <f t="shared" si="5"/>
        <v>0.07717500000000001</v>
      </c>
      <c r="I79" s="187"/>
    </row>
    <row r="80" spans="1:9" ht="12.75">
      <c r="A80" s="237" t="s">
        <v>86</v>
      </c>
      <c r="B80" s="156" t="s">
        <v>346</v>
      </c>
      <c r="C80" s="159" t="s">
        <v>75</v>
      </c>
      <c r="D80" s="158">
        <f>(1.5*(28.4-6.4)*1.05)/55*D65</f>
        <v>1.26</v>
      </c>
      <c r="E80" s="158"/>
      <c r="F80" s="185">
        <f t="shared" si="3"/>
        <v>0</v>
      </c>
      <c r="G80" s="281"/>
      <c r="H80" s="280"/>
      <c r="I80" s="187"/>
    </row>
    <row r="81" spans="1:12" s="436" customFormat="1" ht="12.75">
      <c r="A81" s="237" t="s">
        <v>347</v>
      </c>
      <c r="B81" s="156" t="s">
        <v>348</v>
      </c>
      <c r="C81" s="159" t="s">
        <v>75</v>
      </c>
      <c r="D81" s="158">
        <f>D80</f>
        <v>1.26</v>
      </c>
      <c r="E81" s="158"/>
      <c r="F81" s="185">
        <f t="shared" si="3"/>
        <v>0</v>
      </c>
      <c r="G81" s="280"/>
      <c r="H81" s="280"/>
      <c r="I81" s="187"/>
      <c r="J81" s="435"/>
      <c r="K81" s="278"/>
      <c r="L81" s="278"/>
    </row>
    <row r="82" spans="1:12" s="436" customFormat="1" ht="12.75">
      <c r="A82" s="237" t="s">
        <v>86</v>
      </c>
      <c r="B82" s="156" t="s">
        <v>349</v>
      </c>
      <c r="C82" s="159" t="s">
        <v>76</v>
      </c>
      <c r="D82" s="158">
        <v>0.6</v>
      </c>
      <c r="E82" s="158"/>
      <c r="F82" s="185">
        <f t="shared" si="3"/>
        <v>0</v>
      </c>
      <c r="G82" s="280">
        <v>1.4</v>
      </c>
      <c r="H82" s="280">
        <f t="shared" si="5"/>
        <v>0.84</v>
      </c>
      <c r="I82" s="187"/>
      <c r="J82" s="435"/>
      <c r="K82" s="278"/>
      <c r="L82" s="278"/>
    </row>
    <row r="83" spans="1:12" s="436" customFormat="1" ht="12.75">
      <c r="A83" s="237" t="s">
        <v>85</v>
      </c>
      <c r="B83" s="156" t="s">
        <v>478</v>
      </c>
      <c r="C83" s="159"/>
      <c r="D83" s="158"/>
      <c r="E83" s="158"/>
      <c r="F83" s="185"/>
      <c r="G83" s="280"/>
      <c r="H83" s="280"/>
      <c r="I83" s="187"/>
      <c r="J83" s="435"/>
      <c r="K83" s="278"/>
      <c r="L83" s="278"/>
    </row>
    <row r="84" spans="1:12" s="436" customFormat="1" ht="12.75">
      <c r="A84" s="237" t="s">
        <v>86</v>
      </c>
      <c r="B84" s="156" t="s">
        <v>350</v>
      </c>
      <c r="C84" s="159" t="s">
        <v>76</v>
      </c>
      <c r="D84" s="158">
        <v>0.68</v>
      </c>
      <c r="E84" s="158"/>
      <c r="F84" s="185"/>
      <c r="G84" s="280"/>
      <c r="H84" s="280"/>
      <c r="I84" s="187"/>
      <c r="J84" s="435"/>
      <c r="K84" s="278"/>
      <c r="L84" s="278"/>
    </row>
    <row r="85" spans="1:12" s="436" customFormat="1" ht="12.75">
      <c r="A85" s="237" t="s">
        <v>86</v>
      </c>
      <c r="B85" s="156" t="s">
        <v>349</v>
      </c>
      <c r="C85" s="159" t="s">
        <v>76</v>
      </c>
      <c r="D85" s="158">
        <f>D84/2</f>
        <v>0.34</v>
      </c>
      <c r="E85" s="158"/>
      <c r="F85" s="185">
        <f t="shared" si="3"/>
        <v>0</v>
      </c>
      <c r="G85" s="280">
        <v>1.4</v>
      </c>
      <c r="H85" s="280">
        <f t="shared" si="5"/>
        <v>0.476</v>
      </c>
      <c r="I85" s="187"/>
      <c r="J85" s="435"/>
      <c r="K85" s="278"/>
      <c r="L85" s="278"/>
    </row>
    <row r="86" spans="1:12" s="436" customFormat="1" ht="20.4">
      <c r="A86" s="237" t="s">
        <v>85</v>
      </c>
      <c r="B86" s="156" t="s">
        <v>351</v>
      </c>
      <c r="C86" s="159" t="s">
        <v>76</v>
      </c>
      <c r="D86" s="182">
        <v>0.68</v>
      </c>
      <c r="E86" s="158"/>
      <c r="F86" s="185"/>
      <c r="G86" s="280"/>
      <c r="H86" s="280"/>
      <c r="I86" s="187"/>
      <c r="J86" s="435"/>
      <c r="K86" s="278"/>
      <c r="L86" s="278"/>
    </row>
    <row r="87" spans="1:9" ht="12.75">
      <c r="A87" s="237" t="s">
        <v>86</v>
      </c>
      <c r="B87" s="156" t="s">
        <v>349</v>
      </c>
      <c r="C87" s="159" t="s">
        <v>76</v>
      </c>
      <c r="D87" s="158">
        <f>D86/4</f>
        <v>0.17</v>
      </c>
      <c r="E87" s="158"/>
      <c r="F87" s="185">
        <f t="shared" si="3"/>
        <v>0</v>
      </c>
      <c r="G87" s="280">
        <v>1.4</v>
      </c>
      <c r="H87" s="280">
        <f t="shared" si="5"/>
        <v>0.238</v>
      </c>
      <c r="I87" s="187"/>
    </row>
    <row r="88" spans="1:9" ht="12.75">
      <c r="A88" s="237" t="s">
        <v>86</v>
      </c>
      <c r="B88" s="156" t="s">
        <v>352</v>
      </c>
      <c r="C88" s="159" t="s">
        <v>76</v>
      </c>
      <c r="D88" s="158">
        <f>D86/4</f>
        <v>0.17</v>
      </c>
      <c r="E88" s="158"/>
      <c r="F88" s="185">
        <f t="shared" si="3"/>
        <v>0</v>
      </c>
      <c r="G88" s="280"/>
      <c r="H88" s="280"/>
      <c r="I88" s="187"/>
    </row>
    <row r="89" spans="1:9" ht="20.4">
      <c r="A89" s="237" t="s">
        <v>79</v>
      </c>
      <c r="B89" s="156" t="s">
        <v>353</v>
      </c>
      <c r="C89" s="159" t="s">
        <v>76</v>
      </c>
      <c r="D89" s="158">
        <f>D86+D84</f>
        <v>1.36</v>
      </c>
      <c r="E89" s="158"/>
      <c r="F89" s="185">
        <f t="shared" si="3"/>
        <v>0</v>
      </c>
      <c r="G89" s="280">
        <v>1.2</v>
      </c>
      <c r="H89" s="280">
        <f t="shared" si="5"/>
        <v>1.6320000000000001</v>
      </c>
      <c r="I89" s="187"/>
    </row>
    <row r="90" spans="1:9" ht="12.75">
      <c r="A90" s="237" t="s">
        <v>98</v>
      </c>
      <c r="B90" s="156" t="s">
        <v>354</v>
      </c>
      <c r="C90" s="159" t="s">
        <v>76</v>
      </c>
      <c r="D90" s="158">
        <f>D63*0.2</f>
        <v>0.4</v>
      </c>
      <c r="E90" s="158"/>
      <c r="F90" s="185">
        <f t="shared" si="3"/>
        <v>0</v>
      </c>
      <c r="G90" s="280"/>
      <c r="H90" s="280"/>
      <c r="I90" s="187"/>
    </row>
    <row r="91" spans="1:9" ht="13.8" thickBot="1">
      <c r="A91" s="237" t="s">
        <v>100</v>
      </c>
      <c r="B91" s="156" t="s">
        <v>101</v>
      </c>
      <c r="C91" s="159" t="s">
        <v>77</v>
      </c>
      <c r="D91" s="158">
        <f>H91</f>
        <v>3.829375</v>
      </c>
      <c r="E91" s="158"/>
      <c r="F91" s="185">
        <f>E91*D91</f>
        <v>0</v>
      </c>
      <c r="G91" s="280"/>
      <c r="H91" s="280">
        <f>SUM(H58:H90)</f>
        <v>3.829375</v>
      </c>
      <c r="I91" s="187"/>
    </row>
    <row r="92" spans="1:9" ht="13.8" thickBot="1">
      <c r="A92" s="302"/>
      <c r="B92" s="206" t="s">
        <v>185</v>
      </c>
      <c r="C92" s="207" t="s">
        <v>75</v>
      </c>
      <c r="D92" s="427">
        <v>31.6</v>
      </c>
      <c r="E92" s="194"/>
      <c r="F92" s="195"/>
      <c r="G92" s="294"/>
      <c r="H92" s="294"/>
      <c r="I92" s="329">
        <f>SUM(F93:F122)</f>
        <v>0</v>
      </c>
    </row>
    <row r="93" spans="1:9" ht="12.75">
      <c r="A93" s="241"/>
      <c r="B93" s="204" t="s">
        <v>160</v>
      </c>
      <c r="C93" s="205"/>
      <c r="D93" s="189"/>
      <c r="E93" s="189"/>
      <c r="F93" s="190"/>
      <c r="G93" s="293"/>
      <c r="H93" s="293"/>
      <c r="I93" s="187"/>
    </row>
    <row r="94" spans="1:9" ht="12.75">
      <c r="A94" s="237" t="s">
        <v>86</v>
      </c>
      <c r="B94" s="156" t="s">
        <v>195</v>
      </c>
      <c r="C94" s="159" t="s">
        <v>72</v>
      </c>
      <c r="D94" s="158">
        <v>10</v>
      </c>
      <c r="E94" s="158"/>
      <c r="F94" s="185">
        <f t="shared" si="3"/>
        <v>0</v>
      </c>
      <c r="G94" s="280">
        <v>0.003</v>
      </c>
      <c r="H94" s="280">
        <f aca="true" t="shared" si="6" ref="H94:H106">G94*D94</f>
        <v>0.03</v>
      </c>
      <c r="I94" s="187"/>
    </row>
    <row r="95" spans="1:9" ht="12.75">
      <c r="A95" s="237" t="s">
        <v>86</v>
      </c>
      <c r="B95" s="156" t="s">
        <v>475</v>
      </c>
      <c r="C95" s="159" t="s">
        <v>72</v>
      </c>
      <c r="D95" s="158">
        <v>2</v>
      </c>
      <c r="E95" s="158"/>
      <c r="F95" s="185">
        <f t="shared" si="3"/>
        <v>0</v>
      </c>
      <c r="G95" s="280">
        <v>0.003</v>
      </c>
      <c r="H95" s="280">
        <f t="shared" si="6"/>
        <v>0.006</v>
      </c>
      <c r="I95" s="187"/>
    </row>
    <row r="96" spans="1:9" ht="12.75">
      <c r="A96" s="237" t="s">
        <v>86</v>
      </c>
      <c r="B96" s="156" t="s">
        <v>476</v>
      </c>
      <c r="C96" s="159" t="s">
        <v>72</v>
      </c>
      <c r="D96" s="158">
        <v>2</v>
      </c>
      <c r="E96" s="158"/>
      <c r="F96" s="185">
        <f t="shared" si="3"/>
        <v>0</v>
      </c>
      <c r="G96" s="280">
        <v>0.003</v>
      </c>
      <c r="H96" s="280">
        <f t="shared" si="6"/>
        <v>0.006</v>
      </c>
      <c r="I96" s="187"/>
    </row>
    <row r="97" spans="1:9" ht="12.75">
      <c r="A97" s="237" t="s">
        <v>86</v>
      </c>
      <c r="B97" s="156" t="s">
        <v>477</v>
      </c>
      <c r="C97" s="159" t="s">
        <v>72</v>
      </c>
      <c r="D97" s="158">
        <v>2</v>
      </c>
      <c r="E97" s="158"/>
      <c r="F97" s="185">
        <f t="shared" si="3"/>
        <v>0</v>
      </c>
      <c r="G97" s="280">
        <v>0.003</v>
      </c>
      <c r="H97" s="280">
        <f t="shared" si="6"/>
        <v>0.006</v>
      </c>
      <c r="I97" s="187"/>
    </row>
    <row r="98" spans="1:9" ht="12.75">
      <c r="A98" s="237" t="s">
        <v>86</v>
      </c>
      <c r="B98" s="156" t="s">
        <v>438</v>
      </c>
      <c r="C98" s="159" t="s">
        <v>72</v>
      </c>
      <c r="D98" s="158">
        <v>4</v>
      </c>
      <c r="E98" s="158"/>
      <c r="F98" s="185">
        <f t="shared" si="3"/>
        <v>0</v>
      </c>
      <c r="G98" s="280">
        <v>0.003</v>
      </c>
      <c r="H98" s="280">
        <f t="shared" si="6"/>
        <v>0.012</v>
      </c>
      <c r="I98" s="187"/>
    </row>
    <row r="99" spans="1:9" ht="12.75">
      <c r="A99" s="237"/>
      <c r="B99" s="157"/>
      <c r="C99" s="159" t="s">
        <v>72</v>
      </c>
      <c r="D99" s="173">
        <f>SUM(D94:D98)</f>
        <v>20</v>
      </c>
      <c r="E99" s="158"/>
      <c r="F99" s="185"/>
      <c r="G99" s="280"/>
      <c r="H99" s="280"/>
      <c r="I99" s="187"/>
    </row>
    <row r="100" spans="1:9" ht="12.75">
      <c r="A100" s="237"/>
      <c r="B100" s="157" t="s">
        <v>159</v>
      </c>
      <c r="C100" s="159"/>
      <c r="D100" s="158"/>
      <c r="E100" s="158"/>
      <c r="F100" s="185"/>
      <c r="G100" s="280"/>
      <c r="H100" s="280"/>
      <c r="I100" s="187"/>
    </row>
    <row r="101" spans="1:9" ht="12.75">
      <c r="A101" s="237" t="s">
        <v>86</v>
      </c>
      <c r="B101" s="156" t="s">
        <v>196</v>
      </c>
      <c r="C101" s="159" t="s">
        <v>72</v>
      </c>
      <c r="D101" s="158">
        <v>76</v>
      </c>
      <c r="E101" s="158"/>
      <c r="F101" s="185">
        <f t="shared" si="3"/>
        <v>0</v>
      </c>
      <c r="G101" s="280">
        <v>0.0005</v>
      </c>
      <c r="H101" s="280">
        <f t="shared" si="6"/>
        <v>0.038</v>
      </c>
      <c r="I101" s="187"/>
    </row>
    <row r="102" spans="1:9" ht="12.75">
      <c r="A102" s="237" t="s">
        <v>86</v>
      </c>
      <c r="B102" s="156" t="s">
        <v>197</v>
      </c>
      <c r="C102" s="159" t="s">
        <v>72</v>
      </c>
      <c r="D102" s="158">
        <v>78</v>
      </c>
      <c r="E102" s="158"/>
      <c r="F102" s="185">
        <f t="shared" si="3"/>
        <v>0</v>
      </c>
      <c r="G102" s="280">
        <v>0.0005</v>
      </c>
      <c r="H102" s="280">
        <f t="shared" si="6"/>
        <v>0.039</v>
      </c>
      <c r="I102" s="187"/>
    </row>
    <row r="103" spans="1:9" ht="12.75">
      <c r="A103" s="237"/>
      <c r="B103" s="156"/>
      <c r="C103" s="159" t="s">
        <v>72</v>
      </c>
      <c r="D103" s="173">
        <f>SUM(D101:D102)</f>
        <v>154</v>
      </c>
      <c r="E103" s="158"/>
      <c r="F103" s="185"/>
      <c r="G103" s="280"/>
      <c r="H103" s="280"/>
      <c r="I103" s="187"/>
    </row>
    <row r="104" spans="1:9" ht="12.75">
      <c r="A104" s="237" t="s">
        <v>86</v>
      </c>
      <c r="B104" s="156" t="s">
        <v>123</v>
      </c>
      <c r="C104" s="159" t="s">
        <v>76</v>
      </c>
      <c r="D104" s="158">
        <f>1.4*1.05</f>
        <v>1.47</v>
      </c>
      <c r="E104" s="158"/>
      <c r="F104" s="185">
        <f t="shared" si="3"/>
        <v>0</v>
      </c>
      <c r="G104" s="280">
        <v>1.5</v>
      </c>
      <c r="H104" s="280">
        <f t="shared" si="6"/>
        <v>2.205</v>
      </c>
      <c r="I104" s="187"/>
    </row>
    <row r="105" spans="1:9" ht="20.4">
      <c r="A105" s="237" t="s">
        <v>86</v>
      </c>
      <c r="B105" s="156" t="s">
        <v>144</v>
      </c>
      <c r="C105" s="159" t="s">
        <v>76</v>
      </c>
      <c r="D105" s="158">
        <f>1.05*1.4</f>
        <v>1.47</v>
      </c>
      <c r="E105" s="158"/>
      <c r="F105" s="185">
        <f t="shared" si="3"/>
        <v>0</v>
      </c>
      <c r="G105" s="280">
        <v>1</v>
      </c>
      <c r="H105" s="280">
        <f t="shared" si="6"/>
        <v>1.47</v>
      </c>
      <c r="I105" s="187"/>
    </row>
    <row r="106" spans="1:9" ht="12.75">
      <c r="A106" s="237" t="s">
        <v>86</v>
      </c>
      <c r="B106" s="156" t="s">
        <v>143</v>
      </c>
      <c r="C106" s="159" t="s">
        <v>76</v>
      </c>
      <c r="D106" s="158">
        <f>1.6*1.05</f>
        <v>1.6800000000000002</v>
      </c>
      <c r="E106" s="158"/>
      <c r="F106" s="185">
        <f t="shared" si="3"/>
        <v>0</v>
      </c>
      <c r="G106" s="280">
        <v>0.7</v>
      </c>
      <c r="H106" s="280">
        <f t="shared" si="6"/>
        <v>1.176</v>
      </c>
      <c r="I106" s="187"/>
    </row>
    <row r="107" spans="1:9" ht="12.75">
      <c r="A107" s="237" t="s">
        <v>86</v>
      </c>
      <c r="B107" s="156" t="s">
        <v>357</v>
      </c>
      <c r="C107" s="159" t="s">
        <v>72</v>
      </c>
      <c r="D107" s="158">
        <f>((D99*3)+D103)</f>
        <v>214</v>
      </c>
      <c r="E107" s="158"/>
      <c r="F107" s="185">
        <f t="shared" si="3"/>
        <v>0</v>
      </c>
      <c r="G107" s="280"/>
      <c r="H107" s="280"/>
      <c r="I107" s="187"/>
    </row>
    <row r="108" spans="1:9" ht="12.75">
      <c r="A108" s="237" t="s">
        <v>79</v>
      </c>
      <c r="B108" s="156" t="s">
        <v>145</v>
      </c>
      <c r="C108" s="159" t="s">
        <v>75</v>
      </c>
      <c r="D108" s="158">
        <f>D92</f>
        <v>31.6</v>
      </c>
      <c r="E108" s="158"/>
      <c r="F108" s="185">
        <f t="shared" si="3"/>
        <v>0</v>
      </c>
      <c r="G108" s="280"/>
      <c r="H108" s="280"/>
      <c r="I108" s="187"/>
    </row>
    <row r="109" spans="1:9" ht="12.75">
      <c r="A109" s="237" t="s">
        <v>85</v>
      </c>
      <c r="B109" s="156" t="s">
        <v>131</v>
      </c>
      <c r="C109" s="159" t="s">
        <v>76</v>
      </c>
      <c r="D109" s="158">
        <f>D104+D105</f>
        <v>2.94</v>
      </c>
      <c r="E109" s="158"/>
      <c r="F109" s="185"/>
      <c r="G109" s="280"/>
      <c r="H109" s="280"/>
      <c r="I109" s="187"/>
    </row>
    <row r="110" spans="1:9" ht="12.75">
      <c r="A110" s="237" t="s">
        <v>87</v>
      </c>
      <c r="B110" s="156" t="s">
        <v>88</v>
      </c>
      <c r="C110" s="159" t="s">
        <v>76</v>
      </c>
      <c r="D110" s="158">
        <f>D109</f>
        <v>2.94</v>
      </c>
      <c r="E110" s="158"/>
      <c r="F110" s="185">
        <f t="shared" si="3"/>
        <v>0</v>
      </c>
      <c r="G110" s="280"/>
      <c r="H110" s="280"/>
      <c r="I110" s="187"/>
    </row>
    <row r="111" spans="1:9" ht="12.75">
      <c r="A111" s="237" t="s">
        <v>89</v>
      </c>
      <c r="B111" s="156" t="s">
        <v>90</v>
      </c>
      <c r="C111" s="159" t="s">
        <v>76</v>
      </c>
      <c r="D111" s="158">
        <f>D109</f>
        <v>2.94</v>
      </c>
      <c r="E111" s="158"/>
      <c r="F111" s="185">
        <f t="shared" si="3"/>
        <v>0</v>
      </c>
      <c r="G111" s="280"/>
      <c r="H111" s="280"/>
      <c r="I111" s="187"/>
    </row>
    <row r="112" spans="1:9" ht="12.75">
      <c r="A112" s="237" t="s">
        <v>139</v>
      </c>
      <c r="B112" s="156" t="s">
        <v>198</v>
      </c>
      <c r="C112" s="159" t="s">
        <v>75</v>
      </c>
      <c r="D112" s="158">
        <f>(D92)</f>
        <v>31.6</v>
      </c>
      <c r="E112" s="158"/>
      <c r="F112" s="185">
        <f t="shared" si="3"/>
        <v>0</v>
      </c>
      <c r="G112" s="280"/>
      <c r="H112" s="280"/>
      <c r="I112" s="187"/>
    </row>
    <row r="113" spans="1:9" ht="12.75">
      <c r="A113" s="237" t="s">
        <v>91</v>
      </c>
      <c r="B113" s="156" t="s">
        <v>125</v>
      </c>
      <c r="C113" s="159" t="s">
        <v>75</v>
      </c>
      <c r="D113" s="158">
        <f>D92*2</f>
        <v>63.2</v>
      </c>
      <c r="E113" s="158"/>
      <c r="F113" s="185">
        <f t="shared" si="3"/>
        <v>0</v>
      </c>
      <c r="G113" s="280"/>
      <c r="H113" s="280"/>
      <c r="I113" s="187"/>
    </row>
    <row r="114" spans="1:9" ht="12.75">
      <c r="A114" s="237" t="s">
        <v>92</v>
      </c>
      <c r="B114" s="156" t="s">
        <v>126</v>
      </c>
      <c r="C114" s="159" t="s">
        <v>75</v>
      </c>
      <c r="D114" s="158">
        <f>D113</f>
        <v>63.2</v>
      </c>
      <c r="E114" s="158"/>
      <c r="F114" s="185">
        <f t="shared" si="3"/>
        <v>0</v>
      </c>
      <c r="G114" s="280"/>
      <c r="H114" s="280"/>
      <c r="I114" s="187"/>
    </row>
    <row r="115" spans="1:9" ht="12.75">
      <c r="A115" s="237" t="s">
        <v>93</v>
      </c>
      <c r="B115" s="156" t="s">
        <v>94</v>
      </c>
      <c r="C115" s="159" t="s">
        <v>72</v>
      </c>
      <c r="D115" s="158">
        <f>D99</f>
        <v>20</v>
      </c>
      <c r="E115" s="158"/>
      <c r="F115" s="185">
        <f t="shared" si="3"/>
        <v>0</v>
      </c>
      <c r="G115" s="280"/>
      <c r="H115" s="280"/>
      <c r="I115" s="187"/>
    </row>
    <row r="116" spans="1:9" ht="20.4">
      <c r="A116" s="237" t="s">
        <v>120</v>
      </c>
      <c r="B116" s="156" t="s">
        <v>122</v>
      </c>
      <c r="C116" s="159" t="s">
        <v>72</v>
      </c>
      <c r="D116" s="158">
        <f>D99</f>
        <v>20</v>
      </c>
      <c r="E116" s="158"/>
      <c r="F116" s="185">
        <f t="shared" si="3"/>
        <v>0</v>
      </c>
      <c r="G116" s="280"/>
      <c r="H116" s="280"/>
      <c r="I116" s="187"/>
    </row>
    <row r="117" spans="1:9" ht="12.75">
      <c r="A117" s="237" t="s">
        <v>201</v>
      </c>
      <c r="B117" s="156" t="s">
        <v>140</v>
      </c>
      <c r="C117" s="159" t="s">
        <v>72</v>
      </c>
      <c r="D117" s="158">
        <f>D103</f>
        <v>154</v>
      </c>
      <c r="E117" s="158"/>
      <c r="F117" s="185">
        <f t="shared" si="3"/>
        <v>0</v>
      </c>
      <c r="G117" s="280"/>
      <c r="H117" s="280"/>
      <c r="I117" s="187"/>
    </row>
    <row r="118" spans="1:9" ht="20.4">
      <c r="A118" s="237" t="s">
        <v>199</v>
      </c>
      <c r="B118" s="156" t="s">
        <v>200</v>
      </c>
      <c r="C118" s="159"/>
      <c r="D118" s="158">
        <f>D103</f>
        <v>154</v>
      </c>
      <c r="E118" s="158"/>
      <c r="F118" s="185">
        <f t="shared" si="3"/>
        <v>0</v>
      </c>
      <c r="G118" s="280"/>
      <c r="H118" s="280"/>
      <c r="I118" s="187"/>
    </row>
    <row r="119" spans="1:9" ht="12.75">
      <c r="A119" s="237" t="s">
        <v>95</v>
      </c>
      <c r="B119" s="156" t="s">
        <v>124</v>
      </c>
      <c r="C119" s="159" t="s">
        <v>77</v>
      </c>
      <c r="D119" s="413">
        <f>(D115*3)/100000</f>
        <v>0.0006</v>
      </c>
      <c r="E119" s="158"/>
      <c r="F119" s="185">
        <f t="shared" si="3"/>
        <v>0</v>
      </c>
      <c r="G119" s="280"/>
      <c r="H119" s="413">
        <f>(H115*3)/100000</f>
        <v>0</v>
      </c>
      <c r="I119" s="187"/>
    </row>
    <row r="120" spans="1:9" ht="12.75">
      <c r="A120" s="237" t="s">
        <v>121</v>
      </c>
      <c r="B120" s="156" t="s">
        <v>147</v>
      </c>
      <c r="C120" s="159" t="s">
        <v>75</v>
      </c>
      <c r="D120" s="158">
        <f>D92</f>
        <v>31.6</v>
      </c>
      <c r="E120" s="158"/>
      <c r="F120" s="185">
        <f t="shared" si="3"/>
        <v>0</v>
      </c>
      <c r="G120" s="280"/>
      <c r="H120" s="280"/>
      <c r="I120" s="187"/>
    </row>
    <row r="121" spans="1:9" ht="12.75">
      <c r="A121" s="237" t="s">
        <v>98</v>
      </c>
      <c r="B121" s="156" t="s">
        <v>99</v>
      </c>
      <c r="C121" s="159" t="s">
        <v>76</v>
      </c>
      <c r="D121" s="158">
        <f>D92*0.02</f>
        <v>0.632</v>
      </c>
      <c r="E121" s="158"/>
      <c r="F121" s="185">
        <f t="shared" si="3"/>
        <v>0</v>
      </c>
      <c r="G121" s="280"/>
      <c r="H121" s="280"/>
      <c r="I121" s="187"/>
    </row>
    <row r="122" spans="1:9" ht="13.8" thickBot="1">
      <c r="A122" s="237" t="s">
        <v>100</v>
      </c>
      <c r="B122" s="156" t="s">
        <v>101</v>
      </c>
      <c r="C122" s="159" t="s">
        <v>77</v>
      </c>
      <c r="D122" s="158">
        <f>H122</f>
        <v>4.988</v>
      </c>
      <c r="E122" s="158"/>
      <c r="F122" s="185">
        <f>E122*D122</f>
        <v>0</v>
      </c>
      <c r="G122" s="280"/>
      <c r="H122" s="280">
        <f>SUM(H92:H121)</f>
        <v>4.988</v>
      </c>
      <c r="I122" s="187"/>
    </row>
    <row r="123" spans="1:9" ht="13.8" thickBot="1">
      <c r="A123" s="295"/>
      <c r="B123" s="192" t="s">
        <v>132</v>
      </c>
      <c r="C123" s="193"/>
      <c r="D123" s="194"/>
      <c r="E123" s="194"/>
      <c r="F123" s="195"/>
      <c r="G123" s="294"/>
      <c r="H123" s="294"/>
      <c r="I123" s="329"/>
    </row>
    <row r="124" spans="1:9" ht="13.8" thickBot="1">
      <c r="A124" s="302"/>
      <c r="B124" s="206" t="s">
        <v>186</v>
      </c>
      <c r="C124" s="207" t="s">
        <v>75</v>
      </c>
      <c r="D124" s="427">
        <v>20</v>
      </c>
      <c r="E124" s="194"/>
      <c r="F124" s="195"/>
      <c r="G124" s="294"/>
      <c r="H124" s="294"/>
      <c r="I124" s="329">
        <f>SUM(F125:F153)</f>
        <v>0</v>
      </c>
    </row>
    <row r="125" spans="1:9" ht="12.75">
      <c r="A125" s="241"/>
      <c r="B125" s="204" t="s">
        <v>160</v>
      </c>
      <c r="C125" s="205"/>
      <c r="D125" s="189"/>
      <c r="E125" s="189"/>
      <c r="F125" s="190"/>
      <c r="G125" s="293"/>
      <c r="H125" s="293"/>
      <c r="I125" s="187"/>
    </row>
    <row r="126" spans="1:9" ht="12.75">
      <c r="A126" s="237" t="s">
        <v>86</v>
      </c>
      <c r="B126" s="156" t="s">
        <v>220</v>
      </c>
      <c r="C126" s="159" t="s">
        <v>72</v>
      </c>
      <c r="D126" s="158">
        <v>5</v>
      </c>
      <c r="E126" s="158"/>
      <c r="F126" s="185"/>
      <c r="G126" s="280">
        <v>0.15</v>
      </c>
      <c r="H126" s="280">
        <f aca="true" t="shared" si="7" ref="H126:H139">G126*D126</f>
        <v>0.75</v>
      </c>
      <c r="I126" s="187"/>
    </row>
    <row r="127" spans="1:9" ht="12.75">
      <c r="A127" s="237"/>
      <c r="B127" s="157"/>
      <c r="C127" s="159" t="s">
        <v>72</v>
      </c>
      <c r="D127" s="173">
        <f>SUM(D126:D126)</f>
        <v>5</v>
      </c>
      <c r="E127" s="158"/>
      <c r="F127" s="185"/>
      <c r="G127" s="280"/>
      <c r="H127" s="280"/>
      <c r="I127" s="187"/>
    </row>
    <row r="128" spans="1:9" ht="12.75">
      <c r="A128" s="237"/>
      <c r="B128" s="157" t="s">
        <v>159</v>
      </c>
      <c r="C128" s="159"/>
      <c r="D128" s="158"/>
      <c r="E128" s="158"/>
      <c r="F128" s="185"/>
      <c r="G128" s="280"/>
      <c r="H128" s="280"/>
      <c r="I128" s="187"/>
    </row>
    <row r="129" spans="1:9" ht="12.75">
      <c r="A129" s="237" t="s">
        <v>86</v>
      </c>
      <c r="B129" s="156" t="s">
        <v>196</v>
      </c>
      <c r="C129" s="159" t="s">
        <v>72</v>
      </c>
      <c r="D129" s="158">
        <v>76</v>
      </c>
      <c r="E129" s="158"/>
      <c r="F129" s="185">
        <f aca="true" t="shared" si="8" ref="F129:F177">E129*D129</f>
        <v>0</v>
      </c>
      <c r="G129" s="280">
        <v>0.0005</v>
      </c>
      <c r="H129" s="280">
        <f t="shared" si="7"/>
        <v>0.038</v>
      </c>
      <c r="I129" s="187"/>
    </row>
    <row r="130" spans="1:9" ht="12.75">
      <c r="A130" s="237" t="s">
        <v>86</v>
      </c>
      <c r="B130" s="156" t="s">
        <v>197</v>
      </c>
      <c r="C130" s="159" t="s">
        <v>72</v>
      </c>
      <c r="D130" s="158">
        <v>78</v>
      </c>
      <c r="E130" s="158"/>
      <c r="F130" s="185">
        <f t="shared" si="8"/>
        <v>0</v>
      </c>
      <c r="G130" s="280">
        <v>0.0005</v>
      </c>
      <c r="H130" s="280">
        <f t="shared" si="7"/>
        <v>0.039</v>
      </c>
      <c r="I130" s="187"/>
    </row>
    <row r="131" spans="1:9" ht="12.75">
      <c r="A131" s="237" t="s">
        <v>86</v>
      </c>
      <c r="B131" s="156" t="s">
        <v>439</v>
      </c>
      <c r="C131" s="159" t="s">
        <v>72</v>
      </c>
      <c r="D131" s="158">
        <v>18</v>
      </c>
      <c r="E131" s="158"/>
      <c r="F131" s="185">
        <f t="shared" si="8"/>
        <v>0</v>
      </c>
      <c r="G131" s="280">
        <v>0.0005</v>
      </c>
      <c r="H131" s="280">
        <f t="shared" si="7"/>
        <v>0.009000000000000001</v>
      </c>
      <c r="I131" s="187"/>
    </row>
    <row r="132" spans="1:9" ht="12.75">
      <c r="A132" s="237" t="s">
        <v>86</v>
      </c>
      <c r="B132" s="156" t="s">
        <v>221</v>
      </c>
      <c r="C132" s="159" t="s">
        <v>72</v>
      </c>
      <c r="D132" s="158">
        <v>45</v>
      </c>
      <c r="E132" s="158"/>
      <c r="F132" s="185">
        <f t="shared" si="8"/>
        <v>0</v>
      </c>
      <c r="G132" s="280">
        <v>0.0005</v>
      </c>
      <c r="H132" s="280">
        <f t="shared" si="7"/>
        <v>0.0225</v>
      </c>
      <c r="I132" s="187"/>
    </row>
    <row r="133" spans="1:9" ht="12.75">
      <c r="A133" s="237" t="s">
        <v>86</v>
      </c>
      <c r="B133" s="156" t="s">
        <v>222</v>
      </c>
      <c r="C133" s="159" t="s">
        <v>72</v>
      </c>
      <c r="D133" s="158">
        <v>21</v>
      </c>
      <c r="E133" s="158"/>
      <c r="F133" s="185">
        <f t="shared" si="8"/>
        <v>0</v>
      </c>
      <c r="G133" s="280">
        <v>0.0005</v>
      </c>
      <c r="H133" s="280">
        <f t="shared" si="7"/>
        <v>0.0105</v>
      </c>
      <c r="I133" s="187"/>
    </row>
    <row r="134" spans="1:9" ht="15.6">
      <c r="A134" s="237"/>
      <c r="B134" s="385"/>
      <c r="C134" s="159" t="s">
        <v>72</v>
      </c>
      <c r="D134" s="173">
        <f>SUM(D129:D133)</f>
        <v>238</v>
      </c>
      <c r="E134" s="158"/>
      <c r="F134" s="185"/>
      <c r="G134" s="280"/>
      <c r="H134" s="280"/>
      <c r="I134" s="187"/>
    </row>
    <row r="135" spans="1:9" ht="12.75">
      <c r="A135" s="237" t="s">
        <v>86</v>
      </c>
      <c r="B135" s="156" t="s">
        <v>143</v>
      </c>
      <c r="C135" s="159" t="s">
        <v>76</v>
      </c>
      <c r="D135" s="158">
        <f>1*1.05</f>
        <v>1.05</v>
      </c>
      <c r="E135" s="158"/>
      <c r="F135" s="185">
        <f t="shared" si="8"/>
        <v>0</v>
      </c>
      <c r="G135" s="280">
        <v>0.7</v>
      </c>
      <c r="H135" s="280">
        <f t="shared" si="7"/>
        <v>0.735</v>
      </c>
      <c r="I135" s="187"/>
    </row>
    <row r="136" spans="1:9" ht="12.75">
      <c r="A136" s="237" t="s">
        <v>86</v>
      </c>
      <c r="B136" s="156" t="s">
        <v>357</v>
      </c>
      <c r="C136" s="159" t="s">
        <v>72</v>
      </c>
      <c r="D136" s="158">
        <f>((D127*10)+D134)</f>
        <v>288</v>
      </c>
      <c r="E136" s="158"/>
      <c r="F136" s="185">
        <f t="shared" si="8"/>
        <v>0</v>
      </c>
      <c r="G136" s="280"/>
      <c r="H136" s="280"/>
      <c r="I136" s="187"/>
    </row>
    <row r="137" spans="1:9" ht="12.75">
      <c r="A137" s="237" t="s">
        <v>85</v>
      </c>
      <c r="B137" s="156" t="s">
        <v>227</v>
      </c>
      <c r="C137" s="159"/>
      <c r="D137" s="158"/>
      <c r="E137" s="158"/>
      <c r="F137" s="185"/>
      <c r="G137" s="280"/>
      <c r="H137" s="280"/>
      <c r="I137" s="187"/>
    </row>
    <row r="138" spans="1:9" ht="12.75">
      <c r="A138" s="237" t="s">
        <v>79</v>
      </c>
      <c r="B138" s="156" t="s">
        <v>145</v>
      </c>
      <c r="C138" s="159" t="s">
        <v>75</v>
      </c>
      <c r="D138" s="158">
        <f>D124</f>
        <v>20</v>
      </c>
      <c r="E138" s="158"/>
      <c r="F138" s="185">
        <f t="shared" si="8"/>
        <v>0</v>
      </c>
      <c r="G138" s="280"/>
      <c r="H138" s="280"/>
      <c r="I138" s="187"/>
    </row>
    <row r="139" spans="1:9" ht="12.75">
      <c r="A139" s="237" t="s">
        <v>225</v>
      </c>
      <c r="B139" s="156" t="s">
        <v>226</v>
      </c>
      <c r="C139" s="159" t="s">
        <v>76</v>
      </c>
      <c r="D139" s="158">
        <f>D124*0.3</f>
        <v>6</v>
      </c>
      <c r="E139" s="158"/>
      <c r="F139" s="185">
        <f t="shared" si="8"/>
        <v>0</v>
      </c>
      <c r="G139" s="280">
        <v>1.4</v>
      </c>
      <c r="H139" s="280">
        <f t="shared" si="7"/>
        <v>8.399999999999999</v>
      </c>
      <c r="I139" s="187"/>
    </row>
    <row r="140" spans="1:9" ht="20.4">
      <c r="A140" s="237" t="s">
        <v>79</v>
      </c>
      <c r="B140" s="156" t="s">
        <v>324</v>
      </c>
      <c r="C140" s="159" t="s">
        <v>76</v>
      </c>
      <c r="D140" s="158">
        <f>D139</f>
        <v>6</v>
      </c>
      <c r="E140" s="158"/>
      <c r="F140" s="185">
        <f t="shared" si="8"/>
        <v>0</v>
      </c>
      <c r="G140" s="280"/>
      <c r="H140" s="280"/>
      <c r="I140" s="187"/>
    </row>
    <row r="141" spans="1:9" ht="12.75">
      <c r="A141" s="237" t="s">
        <v>85</v>
      </c>
      <c r="B141" s="156" t="s">
        <v>131</v>
      </c>
      <c r="C141" s="159" t="s">
        <v>76</v>
      </c>
      <c r="D141" s="158">
        <f>D140</f>
        <v>6</v>
      </c>
      <c r="E141" s="158"/>
      <c r="F141" s="185"/>
      <c r="G141" s="280"/>
      <c r="H141" s="280"/>
      <c r="I141" s="187"/>
    </row>
    <row r="142" spans="1:9" ht="12.75">
      <c r="A142" s="237" t="s">
        <v>87</v>
      </c>
      <c r="B142" s="156" t="s">
        <v>88</v>
      </c>
      <c r="C142" s="159" t="s">
        <v>76</v>
      </c>
      <c r="D142" s="158">
        <f>D141</f>
        <v>6</v>
      </c>
      <c r="E142" s="158"/>
      <c r="F142" s="185">
        <f t="shared" si="8"/>
        <v>0</v>
      </c>
      <c r="G142" s="280"/>
      <c r="H142" s="280"/>
      <c r="I142" s="187"/>
    </row>
    <row r="143" spans="1:9" ht="12.75">
      <c r="A143" s="237" t="s">
        <v>89</v>
      </c>
      <c r="B143" s="156" t="s">
        <v>90</v>
      </c>
      <c r="C143" s="159" t="s">
        <v>76</v>
      </c>
      <c r="D143" s="158">
        <f>D141</f>
        <v>6</v>
      </c>
      <c r="E143" s="158"/>
      <c r="F143" s="185">
        <f t="shared" si="8"/>
        <v>0</v>
      </c>
      <c r="G143" s="280"/>
      <c r="H143" s="280"/>
      <c r="I143" s="187"/>
    </row>
    <row r="144" spans="1:9" ht="12.75">
      <c r="A144" s="237" t="s">
        <v>223</v>
      </c>
      <c r="B144" s="156" t="s">
        <v>224</v>
      </c>
      <c r="C144" s="159" t="s">
        <v>75</v>
      </c>
      <c r="D144" s="158">
        <f>D124</f>
        <v>20</v>
      </c>
      <c r="E144" s="158"/>
      <c r="F144" s="185">
        <f t="shared" si="8"/>
        <v>0</v>
      </c>
      <c r="G144" s="280"/>
      <c r="H144" s="280"/>
      <c r="I144" s="187"/>
    </row>
    <row r="145" spans="1:9" ht="12.75">
      <c r="A145" s="237" t="s">
        <v>92</v>
      </c>
      <c r="B145" s="156" t="s">
        <v>126</v>
      </c>
      <c r="C145" s="159" t="s">
        <v>75</v>
      </c>
      <c r="D145" s="158">
        <f>D124</f>
        <v>20</v>
      </c>
      <c r="E145" s="158"/>
      <c r="F145" s="185">
        <f t="shared" si="8"/>
        <v>0</v>
      </c>
      <c r="G145" s="280"/>
      <c r="H145" s="280"/>
      <c r="I145" s="187"/>
    </row>
    <row r="146" spans="1:9" ht="20.4">
      <c r="A146" s="237" t="s">
        <v>170</v>
      </c>
      <c r="B146" s="156" t="s">
        <v>171</v>
      </c>
      <c r="C146" s="159" t="s">
        <v>72</v>
      </c>
      <c r="D146" s="158">
        <f>D127</f>
        <v>5</v>
      </c>
      <c r="E146" s="158"/>
      <c r="F146" s="185">
        <f t="shared" si="8"/>
        <v>0</v>
      </c>
      <c r="G146" s="280"/>
      <c r="H146" s="280"/>
      <c r="I146" s="187"/>
    </row>
    <row r="147" spans="1:9" ht="12.75">
      <c r="A147" s="237" t="s">
        <v>172</v>
      </c>
      <c r="B147" s="156" t="s">
        <v>173</v>
      </c>
      <c r="C147" s="159" t="s">
        <v>72</v>
      </c>
      <c r="D147" s="158">
        <f>D127</f>
        <v>5</v>
      </c>
      <c r="E147" s="158"/>
      <c r="F147" s="185">
        <f t="shared" si="8"/>
        <v>0</v>
      </c>
      <c r="G147" s="280"/>
      <c r="H147" s="280"/>
      <c r="I147" s="187"/>
    </row>
    <row r="148" spans="1:9" ht="12.75">
      <c r="A148" s="237" t="s">
        <v>201</v>
      </c>
      <c r="B148" s="156" t="s">
        <v>140</v>
      </c>
      <c r="C148" s="159" t="s">
        <v>72</v>
      </c>
      <c r="D148" s="158">
        <f>D134</f>
        <v>238</v>
      </c>
      <c r="E148" s="158"/>
      <c r="F148" s="185">
        <f t="shared" si="8"/>
        <v>0</v>
      </c>
      <c r="G148" s="280"/>
      <c r="H148" s="280"/>
      <c r="I148" s="187"/>
    </row>
    <row r="149" spans="1:9" ht="20.4">
      <c r="A149" s="237" t="s">
        <v>199</v>
      </c>
      <c r="B149" s="156" t="s">
        <v>200</v>
      </c>
      <c r="C149" s="159" t="s">
        <v>72</v>
      </c>
      <c r="D149" s="158">
        <f>D134</f>
        <v>238</v>
      </c>
      <c r="E149" s="158"/>
      <c r="F149" s="185">
        <f t="shared" si="8"/>
        <v>0</v>
      </c>
      <c r="G149" s="280"/>
      <c r="H149" s="280"/>
      <c r="I149" s="187"/>
    </row>
    <row r="150" spans="1:9" ht="12.75">
      <c r="A150" s="237" t="s">
        <v>95</v>
      </c>
      <c r="B150" s="156" t="s">
        <v>124</v>
      </c>
      <c r="C150" s="159" t="s">
        <v>77</v>
      </c>
      <c r="D150" s="158">
        <f>((D127*3)+D134)/100000</f>
        <v>0.00253</v>
      </c>
      <c r="E150" s="158"/>
      <c r="F150" s="185">
        <f t="shared" si="8"/>
        <v>0</v>
      </c>
      <c r="G150" s="280"/>
      <c r="H150" s="280"/>
      <c r="I150" s="187"/>
    </row>
    <row r="151" spans="1:9" ht="12.75">
      <c r="A151" s="237" t="s">
        <v>121</v>
      </c>
      <c r="B151" s="156" t="s">
        <v>147</v>
      </c>
      <c r="C151" s="159" t="s">
        <v>75</v>
      </c>
      <c r="D151" s="158">
        <f>D124</f>
        <v>20</v>
      </c>
      <c r="E151" s="158"/>
      <c r="F151" s="185">
        <f t="shared" si="8"/>
        <v>0</v>
      </c>
      <c r="G151" s="280"/>
      <c r="H151" s="280"/>
      <c r="I151" s="187"/>
    </row>
    <row r="152" spans="1:9" ht="12.75">
      <c r="A152" s="237" t="s">
        <v>98</v>
      </c>
      <c r="B152" s="156" t="s">
        <v>99</v>
      </c>
      <c r="C152" s="159" t="s">
        <v>76</v>
      </c>
      <c r="D152" s="158">
        <f>D124*0.02</f>
        <v>0.4</v>
      </c>
      <c r="E152" s="158"/>
      <c r="F152" s="185">
        <f t="shared" si="8"/>
        <v>0</v>
      </c>
      <c r="G152" s="280"/>
      <c r="H152" s="280"/>
      <c r="I152" s="187"/>
    </row>
    <row r="153" spans="1:9" ht="13.8" thickBot="1">
      <c r="A153" s="237" t="s">
        <v>100</v>
      </c>
      <c r="B153" s="156" t="s">
        <v>101</v>
      </c>
      <c r="C153" s="159" t="s">
        <v>77</v>
      </c>
      <c r="D153" s="158">
        <f>H153</f>
        <v>10.003999999999998</v>
      </c>
      <c r="E153" s="158"/>
      <c r="F153" s="185">
        <f>E153*D153</f>
        <v>0</v>
      </c>
      <c r="G153" s="280"/>
      <c r="H153" s="280">
        <f>SUM(H124:H152)</f>
        <v>10.003999999999998</v>
      </c>
      <c r="I153" s="187"/>
    </row>
    <row r="154" spans="1:9" ht="13.8" thickBot="1">
      <c r="A154" s="302"/>
      <c r="B154" s="206" t="s">
        <v>187</v>
      </c>
      <c r="C154" s="207" t="s">
        <v>75</v>
      </c>
      <c r="D154" s="427">
        <v>128.2</v>
      </c>
      <c r="E154" s="194"/>
      <c r="F154" s="195"/>
      <c r="G154" s="294"/>
      <c r="H154" s="294"/>
      <c r="I154" s="329">
        <f>SUM(F155:F178)</f>
        <v>0</v>
      </c>
    </row>
    <row r="155" spans="1:9" ht="12.75">
      <c r="A155" s="241" t="s">
        <v>292</v>
      </c>
      <c r="B155" s="386" t="s">
        <v>246</v>
      </c>
      <c r="C155" s="205" t="s">
        <v>72</v>
      </c>
      <c r="D155" s="189">
        <v>189</v>
      </c>
      <c r="E155" s="189"/>
      <c r="F155" s="190">
        <f aca="true" t="shared" si="9" ref="F155:F159">E155*D155</f>
        <v>0</v>
      </c>
      <c r="G155" s="293">
        <v>0.0005</v>
      </c>
      <c r="H155" s="293">
        <f aca="true" t="shared" si="10" ref="H155:H163">G155*D155</f>
        <v>0.0945</v>
      </c>
      <c r="I155" s="187"/>
    </row>
    <row r="156" spans="1:9" ht="12.75">
      <c r="A156" s="237" t="s">
        <v>86</v>
      </c>
      <c r="B156" s="156" t="s">
        <v>196</v>
      </c>
      <c r="C156" s="159" t="s">
        <v>72</v>
      </c>
      <c r="D156" s="158">
        <v>201</v>
      </c>
      <c r="E156" s="158"/>
      <c r="F156" s="185">
        <f t="shared" si="9"/>
        <v>0</v>
      </c>
      <c r="G156" s="280">
        <v>0.0005</v>
      </c>
      <c r="H156" s="280">
        <f t="shared" si="10"/>
        <v>0.1005</v>
      </c>
      <c r="I156" s="187"/>
    </row>
    <row r="157" spans="1:9" ht="12.75">
      <c r="A157" s="237" t="s">
        <v>86</v>
      </c>
      <c r="B157" s="156" t="s">
        <v>197</v>
      </c>
      <c r="C157" s="159" t="s">
        <v>72</v>
      </c>
      <c r="D157" s="158">
        <v>199</v>
      </c>
      <c r="E157" s="158"/>
      <c r="F157" s="185">
        <f t="shared" si="9"/>
        <v>0</v>
      </c>
      <c r="G157" s="280">
        <v>0.0005</v>
      </c>
      <c r="H157" s="280">
        <f t="shared" si="10"/>
        <v>0.0995</v>
      </c>
      <c r="I157" s="187"/>
    </row>
    <row r="158" spans="1:9" ht="12.75">
      <c r="A158" s="237" t="s">
        <v>86</v>
      </c>
      <c r="B158" s="161" t="s">
        <v>440</v>
      </c>
      <c r="C158" s="159" t="s">
        <v>72</v>
      </c>
      <c r="D158" s="158">
        <v>26</v>
      </c>
      <c r="E158" s="158"/>
      <c r="F158" s="185">
        <f t="shared" si="9"/>
        <v>0</v>
      </c>
      <c r="G158" s="280">
        <v>0.0005</v>
      </c>
      <c r="H158" s="280">
        <f t="shared" si="10"/>
        <v>0.013000000000000001</v>
      </c>
      <c r="I158" s="187"/>
    </row>
    <row r="159" spans="1:10" s="366" customFormat="1" ht="12.75">
      <c r="A159" s="237" t="s">
        <v>86</v>
      </c>
      <c r="B159" s="156" t="s">
        <v>222</v>
      </c>
      <c r="C159" s="159" t="s">
        <v>72</v>
      </c>
      <c r="D159" s="158">
        <v>495</v>
      </c>
      <c r="E159" s="158"/>
      <c r="F159" s="185">
        <f t="shared" si="9"/>
        <v>0</v>
      </c>
      <c r="G159" s="280">
        <v>0.0005</v>
      </c>
      <c r="H159" s="280">
        <f t="shared" si="10"/>
        <v>0.2475</v>
      </c>
      <c r="I159" s="187"/>
      <c r="J159" s="399"/>
    </row>
    <row r="160" spans="1:12" ht="14.4">
      <c r="A160" s="237"/>
      <c r="B160" s="156"/>
      <c r="C160" s="159"/>
      <c r="D160" s="173">
        <f>SUM(D155:D159)</f>
        <v>1110</v>
      </c>
      <c r="E160" s="158"/>
      <c r="F160" s="185"/>
      <c r="G160" s="280"/>
      <c r="H160" s="280"/>
      <c r="I160" s="187"/>
      <c r="J160" s="251"/>
      <c r="K160" s="251"/>
      <c r="L160" s="251"/>
    </row>
    <row r="161" spans="1:12" ht="14.4">
      <c r="A161" s="237" t="s">
        <v>86</v>
      </c>
      <c r="B161" s="156" t="s">
        <v>123</v>
      </c>
      <c r="C161" s="159" t="s">
        <v>76</v>
      </c>
      <c r="D161" s="158">
        <f>5.8*1.05</f>
        <v>6.09</v>
      </c>
      <c r="E161" s="158"/>
      <c r="F161" s="185">
        <f t="shared" si="8"/>
        <v>0</v>
      </c>
      <c r="G161" s="280">
        <v>1.5</v>
      </c>
      <c r="H161" s="280">
        <f t="shared" si="10"/>
        <v>9.135</v>
      </c>
      <c r="I161" s="187"/>
      <c r="J161" s="251"/>
      <c r="K161" s="251"/>
      <c r="L161" s="251"/>
    </row>
    <row r="162" spans="1:12" ht="20.4">
      <c r="A162" s="237" t="s">
        <v>86</v>
      </c>
      <c r="B162" s="156" t="s">
        <v>144</v>
      </c>
      <c r="C162" s="159" t="s">
        <v>76</v>
      </c>
      <c r="D162" s="158">
        <f>5.8*1.4</f>
        <v>8.12</v>
      </c>
      <c r="E162" s="158"/>
      <c r="F162" s="185">
        <f t="shared" si="8"/>
        <v>0</v>
      </c>
      <c r="G162" s="280">
        <v>1</v>
      </c>
      <c r="H162" s="280">
        <f t="shared" si="10"/>
        <v>8.12</v>
      </c>
      <c r="I162" s="187"/>
      <c r="J162" s="251"/>
      <c r="K162" s="251"/>
      <c r="L162" s="251"/>
    </row>
    <row r="163" spans="1:9" ht="12.75">
      <c r="A163" s="237" t="s">
        <v>86</v>
      </c>
      <c r="B163" s="156" t="s">
        <v>143</v>
      </c>
      <c r="C163" s="159" t="s">
        <v>76</v>
      </c>
      <c r="D163" s="158">
        <f>6.4*1.05</f>
        <v>6.720000000000001</v>
      </c>
      <c r="E163" s="158"/>
      <c r="F163" s="185">
        <f t="shared" si="8"/>
        <v>0</v>
      </c>
      <c r="G163" s="280">
        <v>0.7</v>
      </c>
      <c r="H163" s="280">
        <f t="shared" si="10"/>
        <v>4.704</v>
      </c>
      <c r="I163" s="187"/>
    </row>
    <row r="164" spans="1:12" ht="14.4">
      <c r="A164" s="237" t="s">
        <v>86</v>
      </c>
      <c r="B164" s="156" t="s">
        <v>357</v>
      </c>
      <c r="C164" s="159" t="s">
        <v>72</v>
      </c>
      <c r="D164" s="158">
        <f>D160</f>
        <v>1110</v>
      </c>
      <c r="E164" s="158"/>
      <c r="F164" s="185">
        <f t="shared" si="8"/>
        <v>0</v>
      </c>
      <c r="G164" s="280"/>
      <c r="H164" s="280"/>
      <c r="I164" s="187"/>
      <c r="J164" s="251"/>
      <c r="K164" s="251"/>
      <c r="L164" s="251"/>
    </row>
    <row r="165" spans="1:12" ht="14.4">
      <c r="A165" s="237" t="s">
        <v>79</v>
      </c>
      <c r="B165" s="156" t="s">
        <v>145</v>
      </c>
      <c r="C165" s="159" t="s">
        <v>75</v>
      </c>
      <c r="D165" s="158">
        <f>D154</f>
        <v>128.2</v>
      </c>
      <c r="E165" s="158"/>
      <c r="F165" s="185">
        <f t="shared" si="8"/>
        <v>0</v>
      </c>
      <c r="G165" s="280"/>
      <c r="H165" s="280"/>
      <c r="I165" s="187"/>
      <c r="J165" s="251"/>
      <c r="K165" s="251"/>
      <c r="L165" s="251"/>
    </row>
    <row r="166" spans="1:12" ht="14.4">
      <c r="A166" s="237" t="s">
        <v>85</v>
      </c>
      <c r="B166" s="156" t="s">
        <v>131</v>
      </c>
      <c r="C166" s="159" t="s">
        <v>76</v>
      </c>
      <c r="D166" s="158">
        <f>D161+D162</f>
        <v>14.209999999999999</v>
      </c>
      <c r="E166" s="158"/>
      <c r="F166" s="185">
        <f t="shared" si="8"/>
        <v>0</v>
      </c>
      <c r="G166" s="280"/>
      <c r="H166" s="280"/>
      <c r="I166" s="187"/>
      <c r="J166" s="251"/>
      <c r="K166" s="251"/>
      <c r="L166" s="251"/>
    </row>
    <row r="167" spans="1:12" ht="14.4">
      <c r="A167" s="237" t="s">
        <v>87</v>
      </c>
      <c r="B167" s="156" t="s">
        <v>88</v>
      </c>
      <c r="C167" s="159" t="s">
        <v>76</v>
      </c>
      <c r="D167" s="158">
        <f>D166</f>
        <v>14.209999999999999</v>
      </c>
      <c r="E167" s="158"/>
      <c r="F167" s="185">
        <f t="shared" si="8"/>
        <v>0</v>
      </c>
      <c r="G167" s="280"/>
      <c r="H167" s="280"/>
      <c r="I167" s="187"/>
      <c r="J167" s="251"/>
      <c r="K167" s="251"/>
      <c r="L167" s="251"/>
    </row>
    <row r="168" spans="1:12" ht="14.4">
      <c r="A168" s="237" t="s">
        <v>89</v>
      </c>
      <c r="B168" s="156" t="s">
        <v>90</v>
      </c>
      <c r="C168" s="159" t="s">
        <v>76</v>
      </c>
      <c r="D168" s="158">
        <f>D166</f>
        <v>14.209999999999999</v>
      </c>
      <c r="E168" s="158"/>
      <c r="F168" s="185">
        <f t="shared" si="8"/>
        <v>0</v>
      </c>
      <c r="G168" s="280"/>
      <c r="H168" s="280"/>
      <c r="I168" s="187"/>
      <c r="J168" s="425"/>
      <c r="K168" s="249"/>
      <c r="L168" s="249"/>
    </row>
    <row r="169" spans="1:9" ht="12.75">
      <c r="A169" s="237" t="s">
        <v>139</v>
      </c>
      <c r="B169" s="156" t="s">
        <v>198</v>
      </c>
      <c r="C169" s="159" t="s">
        <v>75</v>
      </c>
      <c r="D169" s="158">
        <f>(D154)</f>
        <v>128.2</v>
      </c>
      <c r="E169" s="158"/>
      <c r="F169" s="185">
        <f t="shared" si="8"/>
        <v>0</v>
      </c>
      <c r="G169" s="280"/>
      <c r="H169" s="280"/>
      <c r="I169" s="187"/>
    </row>
    <row r="170" spans="1:9" ht="12.75">
      <c r="A170" s="237" t="s">
        <v>91</v>
      </c>
      <c r="B170" s="156" t="s">
        <v>125</v>
      </c>
      <c r="C170" s="159" t="s">
        <v>75</v>
      </c>
      <c r="D170" s="158">
        <f>D154*2</f>
        <v>256.4</v>
      </c>
      <c r="E170" s="158"/>
      <c r="F170" s="185">
        <f t="shared" si="8"/>
        <v>0</v>
      </c>
      <c r="G170" s="280"/>
      <c r="H170" s="280"/>
      <c r="I170" s="187"/>
    </row>
    <row r="171" spans="1:9" ht="12.75">
      <c r="A171" s="237" t="s">
        <v>92</v>
      </c>
      <c r="B171" s="156" t="s">
        <v>126</v>
      </c>
      <c r="C171" s="159" t="s">
        <v>75</v>
      </c>
      <c r="D171" s="158">
        <f>D170</f>
        <v>256.4</v>
      </c>
      <c r="E171" s="158"/>
      <c r="F171" s="185">
        <f t="shared" si="8"/>
        <v>0</v>
      </c>
      <c r="G171" s="280"/>
      <c r="H171" s="280"/>
      <c r="I171" s="187"/>
    </row>
    <row r="172" spans="1:9" ht="12.75">
      <c r="A172" s="237" t="s">
        <v>201</v>
      </c>
      <c r="B172" s="156" t="s">
        <v>140</v>
      </c>
      <c r="C172" s="159" t="s">
        <v>72</v>
      </c>
      <c r="D172" s="158">
        <f>D160</f>
        <v>1110</v>
      </c>
      <c r="E172" s="158"/>
      <c r="F172" s="185">
        <f t="shared" si="8"/>
        <v>0</v>
      </c>
      <c r="G172" s="280"/>
      <c r="H172" s="280"/>
      <c r="I172" s="187"/>
    </row>
    <row r="173" spans="1:9" ht="20.4">
      <c r="A173" s="237" t="s">
        <v>199</v>
      </c>
      <c r="B173" s="156" t="s">
        <v>200</v>
      </c>
      <c r="C173" s="159" t="s">
        <v>72</v>
      </c>
      <c r="D173" s="158">
        <f>D160</f>
        <v>1110</v>
      </c>
      <c r="E173" s="158"/>
      <c r="F173" s="185">
        <f t="shared" si="8"/>
        <v>0</v>
      </c>
      <c r="G173" s="280"/>
      <c r="H173" s="280"/>
      <c r="I173" s="187"/>
    </row>
    <row r="174" spans="1:9" ht="12.75">
      <c r="A174" s="237" t="s">
        <v>95</v>
      </c>
      <c r="B174" s="156" t="s">
        <v>124</v>
      </c>
      <c r="C174" s="159" t="s">
        <v>77</v>
      </c>
      <c r="D174" s="158">
        <f>(D160)/100000</f>
        <v>0.0111</v>
      </c>
      <c r="E174" s="158"/>
      <c r="F174" s="185">
        <f t="shared" si="8"/>
        <v>0</v>
      </c>
      <c r="G174" s="280"/>
      <c r="H174" s="280"/>
      <c r="I174" s="187"/>
    </row>
    <row r="175" spans="1:9" ht="12.75">
      <c r="A175" s="237" t="s">
        <v>121</v>
      </c>
      <c r="B175" s="156" t="s">
        <v>147</v>
      </c>
      <c r="C175" s="159" t="s">
        <v>75</v>
      </c>
      <c r="D175" s="158">
        <f>D154</f>
        <v>128.2</v>
      </c>
      <c r="E175" s="158"/>
      <c r="F175" s="185">
        <f t="shared" si="8"/>
        <v>0</v>
      </c>
      <c r="G175" s="280"/>
      <c r="H175" s="280"/>
      <c r="I175" s="187"/>
    </row>
    <row r="176" spans="1:9" ht="12.75">
      <c r="A176" s="237"/>
      <c r="B176" s="156" t="s">
        <v>218</v>
      </c>
      <c r="C176" s="159"/>
      <c r="D176" s="158"/>
      <c r="E176" s="158"/>
      <c r="F176" s="185"/>
      <c r="G176" s="280"/>
      <c r="H176" s="280"/>
      <c r="I176" s="187"/>
    </row>
    <row r="177" spans="1:9" ht="12.75">
      <c r="A177" s="237" t="s">
        <v>98</v>
      </c>
      <c r="B177" s="156" t="s">
        <v>99</v>
      </c>
      <c r="C177" s="159" t="s">
        <v>76</v>
      </c>
      <c r="D177" s="158">
        <f>D154*0.02</f>
        <v>2.5639999999999996</v>
      </c>
      <c r="E177" s="158"/>
      <c r="F177" s="185">
        <f t="shared" si="8"/>
        <v>0</v>
      </c>
      <c r="G177" s="280"/>
      <c r="H177" s="280"/>
      <c r="I177" s="187"/>
    </row>
    <row r="178" spans="1:9" ht="13.8" thickBot="1">
      <c r="A178" s="237" t="s">
        <v>100</v>
      </c>
      <c r="B178" s="156" t="s">
        <v>101</v>
      </c>
      <c r="C178" s="159" t="s">
        <v>77</v>
      </c>
      <c r="D178" s="158">
        <f>H178</f>
        <v>22.514</v>
      </c>
      <c r="E178" s="158"/>
      <c r="F178" s="185">
        <f>E178*D178</f>
        <v>0</v>
      </c>
      <c r="G178" s="280"/>
      <c r="H178" s="280">
        <f>SUM(H154:H177)</f>
        <v>22.514</v>
      </c>
      <c r="I178" s="187"/>
    </row>
    <row r="179" spans="1:9" ht="13.8" thickBot="1">
      <c r="A179" s="302"/>
      <c r="B179" s="206" t="s">
        <v>293</v>
      </c>
      <c r="C179" s="207" t="s">
        <v>75</v>
      </c>
      <c r="D179" s="427">
        <v>88.3</v>
      </c>
      <c r="E179" s="194"/>
      <c r="F179" s="195"/>
      <c r="G179" s="294"/>
      <c r="H179" s="294"/>
      <c r="I179" s="329">
        <f>SUM(F180:F250)</f>
        <v>0</v>
      </c>
    </row>
    <row r="180" spans="1:9" ht="12.75">
      <c r="A180" s="241"/>
      <c r="B180" s="204" t="s">
        <v>159</v>
      </c>
      <c r="C180" s="205"/>
      <c r="D180" s="189"/>
      <c r="E180" s="189"/>
      <c r="F180" s="190"/>
      <c r="G180" s="293"/>
      <c r="H180" s="293"/>
      <c r="I180" s="187"/>
    </row>
    <row r="181" spans="1:9" ht="12.75">
      <c r="A181" s="237" t="s">
        <v>86</v>
      </c>
      <c r="B181" s="161" t="s">
        <v>231</v>
      </c>
      <c r="C181" s="159" t="s">
        <v>72</v>
      </c>
      <c r="D181" s="158">
        <v>24</v>
      </c>
      <c r="E181" s="158"/>
      <c r="F181" s="185">
        <f aca="true" t="shared" si="11" ref="F181:F246">E181*D181</f>
        <v>0</v>
      </c>
      <c r="G181" s="280">
        <v>0.0005</v>
      </c>
      <c r="H181" s="280">
        <f aca="true" t="shared" si="12" ref="H181:H210">G181*D181</f>
        <v>0.012</v>
      </c>
      <c r="I181" s="187"/>
    </row>
    <row r="182" spans="1:9" ht="12.75">
      <c r="A182" s="237" t="s">
        <v>86</v>
      </c>
      <c r="B182" s="161" t="s">
        <v>202</v>
      </c>
      <c r="C182" s="159" t="s">
        <v>72</v>
      </c>
      <c r="D182" s="158">
        <v>33</v>
      </c>
      <c r="E182" s="158"/>
      <c r="F182" s="185">
        <f t="shared" si="11"/>
        <v>0</v>
      </c>
      <c r="G182" s="280">
        <v>0.0005</v>
      </c>
      <c r="H182" s="280">
        <f t="shared" si="12"/>
        <v>0.0165</v>
      </c>
      <c r="I182" s="187"/>
    </row>
    <row r="183" spans="1:9" ht="12.75">
      <c r="A183" s="237" t="s">
        <v>86</v>
      </c>
      <c r="B183" s="161" t="s">
        <v>232</v>
      </c>
      <c r="C183" s="159" t="s">
        <v>72</v>
      </c>
      <c r="D183" s="158">
        <v>13</v>
      </c>
      <c r="E183" s="158"/>
      <c r="F183" s="185">
        <f t="shared" si="11"/>
        <v>0</v>
      </c>
      <c r="G183" s="280">
        <v>0.0005</v>
      </c>
      <c r="H183" s="280">
        <f t="shared" si="12"/>
        <v>0.006500000000000001</v>
      </c>
      <c r="I183" s="187"/>
    </row>
    <row r="184" spans="1:9" ht="12.75">
      <c r="A184" s="237" t="s">
        <v>86</v>
      </c>
      <c r="B184" s="161" t="s">
        <v>233</v>
      </c>
      <c r="C184" s="159" t="s">
        <v>72</v>
      </c>
      <c r="D184" s="158">
        <v>26</v>
      </c>
      <c r="E184" s="158"/>
      <c r="F184" s="185">
        <f t="shared" si="11"/>
        <v>0</v>
      </c>
      <c r="G184" s="280">
        <v>0.0005</v>
      </c>
      <c r="H184" s="280">
        <f t="shared" si="12"/>
        <v>0.013000000000000001</v>
      </c>
      <c r="I184" s="187"/>
    </row>
    <row r="185" spans="1:9" ht="12.75">
      <c r="A185" s="237" t="s">
        <v>86</v>
      </c>
      <c r="B185" s="161" t="s">
        <v>203</v>
      </c>
      <c r="C185" s="159" t="s">
        <v>72</v>
      </c>
      <c r="D185" s="158">
        <v>7</v>
      </c>
      <c r="E185" s="158"/>
      <c r="F185" s="185">
        <f t="shared" si="11"/>
        <v>0</v>
      </c>
      <c r="G185" s="280">
        <v>0.0005</v>
      </c>
      <c r="H185" s="280">
        <f t="shared" si="12"/>
        <v>0.0035</v>
      </c>
      <c r="I185" s="187"/>
    </row>
    <row r="186" spans="1:9" ht="12.75">
      <c r="A186" s="237" t="s">
        <v>86</v>
      </c>
      <c r="B186" s="161" t="s">
        <v>234</v>
      </c>
      <c r="C186" s="159" t="s">
        <v>72</v>
      </c>
      <c r="D186" s="158">
        <v>5</v>
      </c>
      <c r="E186" s="158"/>
      <c r="F186" s="185">
        <f t="shared" si="11"/>
        <v>0</v>
      </c>
      <c r="G186" s="280">
        <v>0.0005</v>
      </c>
      <c r="H186" s="280">
        <f t="shared" si="12"/>
        <v>0.0025</v>
      </c>
      <c r="I186" s="187"/>
    </row>
    <row r="187" spans="1:9" ht="12.75">
      <c r="A187" s="237" t="s">
        <v>86</v>
      </c>
      <c r="B187" s="161" t="s">
        <v>241</v>
      </c>
      <c r="C187" s="159" t="s">
        <v>72</v>
      </c>
      <c r="D187" s="158">
        <v>24</v>
      </c>
      <c r="E187" s="158"/>
      <c r="F187" s="185">
        <f t="shared" si="11"/>
        <v>0</v>
      </c>
      <c r="G187" s="280">
        <v>0.0005</v>
      </c>
      <c r="H187" s="280">
        <f t="shared" si="12"/>
        <v>0.012</v>
      </c>
      <c r="I187" s="187"/>
    </row>
    <row r="188" spans="1:9" ht="12.75">
      <c r="A188" s="237" t="s">
        <v>86</v>
      </c>
      <c r="B188" s="161" t="s">
        <v>242</v>
      </c>
      <c r="C188" s="159" t="s">
        <v>72</v>
      </c>
      <c r="D188" s="158">
        <v>26</v>
      </c>
      <c r="E188" s="158"/>
      <c r="F188" s="185">
        <f t="shared" si="11"/>
        <v>0</v>
      </c>
      <c r="G188" s="280">
        <v>0.0005</v>
      </c>
      <c r="H188" s="280">
        <f t="shared" si="12"/>
        <v>0.013000000000000001</v>
      </c>
      <c r="I188" s="187"/>
    </row>
    <row r="189" spans="1:9" ht="12.75">
      <c r="A189" s="237" t="s">
        <v>86</v>
      </c>
      <c r="B189" s="161" t="s">
        <v>206</v>
      </c>
      <c r="C189" s="159" t="s">
        <v>72</v>
      </c>
      <c r="D189" s="158">
        <v>12</v>
      </c>
      <c r="E189" s="158"/>
      <c r="F189" s="185">
        <f t="shared" si="11"/>
        <v>0</v>
      </c>
      <c r="G189" s="280">
        <v>0.0005</v>
      </c>
      <c r="H189" s="280">
        <f t="shared" si="12"/>
        <v>0.006</v>
      </c>
      <c r="I189" s="187"/>
    </row>
    <row r="190" spans="1:9" ht="12.75">
      <c r="A190" s="237" t="s">
        <v>86</v>
      </c>
      <c r="B190" s="161" t="s">
        <v>244</v>
      </c>
      <c r="C190" s="159" t="s">
        <v>72</v>
      </c>
      <c r="D190" s="158">
        <v>33</v>
      </c>
      <c r="E190" s="158"/>
      <c r="F190" s="185">
        <f t="shared" si="11"/>
        <v>0</v>
      </c>
      <c r="G190" s="280">
        <v>0.0005</v>
      </c>
      <c r="H190" s="280">
        <f t="shared" si="12"/>
        <v>0.0165</v>
      </c>
      <c r="I190" s="187"/>
    </row>
    <row r="191" spans="1:9" ht="12.75">
      <c r="A191" s="237" t="s">
        <v>86</v>
      </c>
      <c r="B191" s="161" t="s">
        <v>207</v>
      </c>
      <c r="C191" s="159" t="s">
        <v>72</v>
      </c>
      <c r="D191" s="158">
        <v>16</v>
      </c>
      <c r="E191" s="158"/>
      <c r="F191" s="185">
        <f t="shared" si="11"/>
        <v>0</v>
      </c>
      <c r="G191" s="280">
        <v>0.0005</v>
      </c>
      <c r="H191" s="280">
        <f t="shared" si="12"/>
        <v>0.008</v>
      </c>
      <c r="I191" s="187"/>
    </row>
    <row r="192" spans="1:9" ht="12.75">
      <c r="A192" s="237" t="s">
        <v>86</v>
      </c>
      <c r="B192" s="161" t="s">
        <v>208</v>
      </c>
      <c r="C192" s="159" t="s">
        <v>72</v>
      </c>
      <c r="D192" s="158">
        <v>25</v>
      </c>
      <c r="E192" s="158"/>
      <c r="F192" s="185">
        <f t="shared" si="11"/>
        <v>0</v>
      </c>
      <c r="G192" s="280">
        <v>0.0005</v>
      </c>
      <c r="H192" s="280">
        <f t="shared" si="12"/>
        <v>0.0125</v>
      </c>
      <c r="I192" s="187"/>
    </row>
    <row r="193" spans="1:9" ht="12.75">
      <c r="A193" s="237" t="s">
        <v>86</v>
      </c>
      <c r="B193" s="161" t="s">
        <v>247</v>
      </c>
      <c r="C193" s="159" t="s">
        <v>72</v>
      </c>
      <c r="D193" s="158">
        <v>9</v>
      </c>
      <c r="E193" s="158"/>
      <c r="F193" s="185">
        <f t="shared" si="11"/>
        <v>0</v>
      </c>
      <c r="G193" s="280">
        <v>0.0005</v>
      </c>
      <c r="H193" s="280">
        <f t="shared" si="12"/>
        <v>0.0045000000000000005</v>
      </c>
      <c r="I193" s="187"/>
    </row>
    <row r="194" spans="1:9" ht="12.75">
      <c r="A194" s="237" t="s">
        <v>86</v>
      </c>
      <c r="B194" s="161" t="s">
        <v>210</v>
      </c>
      <c r="C194" s="159" t="s">
        <v>72</v>
      </c>
      <c r="D194" s="158">
        <v>9</v>
      </c>
      <c r="E194" s="158"/>
      <c r="F194" s="185">
        <f t="shared" si="11"/>
        <v>0</v>
      </c>
      <c r="G194" s="280">
        <v>0.0005</v>
      </c>
      <c r="H194" s="280">
        <f t="shared" si="12"/>
        <v>0.0045000000000000005</v>
      </c>
      <c r="I194" s="187"/>
    </row>
    <row r="195" spans="1:9" ht="12.75">
      <c r="A195" s="237" t="s">
        <v>86</v>
      </c>
      <c r="B195" s="161" t="s">
        <v>248</v>
      </c>
      <c r="C195" s="159" t="s">
        <v>72</v>
      </c>
      <c r="D195" s="158">
        <v>24</v>
      </c>
      <c r="E195" s="158"/>
      <c r="F195" s="185">
        <f t="shared" si="11"/>
        <v>0</v>
      </c>
      <c r="G195" s="280">
        <v>0.0005</v>
      </c>
      <c r="H195" s="280">
        <f t="shared" si="12"/>
        <v>0.012</v>
      </c>
      <c r="I195" s="187"/>
    </row>
    <row r="196" spans="1:9" ht="12.75">
      <c r="A196" s="237" t="s">
        <v>86</v>
      </c>
      <c r="B196" s="161" t="s">
        <v>249</v>
      </c>
      <c r="C196" s="159" t="s">
        <v>72</v>
      </c>
      <c r="D196" s="158">
        <v>24</v>
      </c>
      <c r="E196" s="158"/>
      <c r="F196" s="185">
        <f t="shared" si="11"/>
        <v>0</v>
      </c>
      <c r="G196" s="280">
        <v>0.0005</v>
      </c>
      <c r="H196" s="280">
        <f t="shared" si="12"/>
        <v>0.012</v>
      </c>
      <c r="I196" s="187"/>
    </row>
    <row r="197" spans="1:9" ht="12.75">
      <c r="A197" s="237" t="s">
        <v>86</v>
      </c>
      <c r="B197" s="171" t="s">
        <v>211</v>
      </c>
      <c r="C197" s="159" t="s">
        <v>72</v>
      </c>
      <c r="D197" s="158">
        <v>19</v>
      </c>
      <c r="E197" s="158"/>
      <c r="F197" s="185">
        <f t="shared" si="11"/>
        <v>0</v>
      </c>
      <c r="G197" s="280">
        <v>0.0005</v>
      </c>
      <c r="H197" s="280">
        <f t="shared" si="12"/>
        <v>0.0095</v>
      </c>
      <c r="I197" s="187"/>
    </row>
    <row r="198" spans="1:9" ht="12.75">
      <c r="A198" s="237" t="s">
        <v>86</v>
      </c>
      <c r="B198" s="161" t="s">
        <v>250</v>
      </c>
      <c r="C198" s="159" t="s">
        <v>72</v>
      </c>
      <c r="D198" s="158">
        <v>29</v>
      </c>
      <c r="E198" s="158"/>
      <c r="F198" s="185">
        <f t="shared" si="11"/>
        <v>0</v>
      </c>
      <c r="G198" s="280">
        <v>0.0005</v>
      </c>
      <c r="H198" s="280">
        <f t="shared" si="12"/>
        <v>0.0145</v>
      </c>
      <c r="I198" s="187"/>
    </row>
    <row r="199" spans="1:9" ht="12.75">
      <c r="A199" s="237" t="s">
        <v>86</v>
      </c>
      <c r="B199" s="161" t="s">
        <v>251</v>
      </c>
      <c r="C199" s="159" t="s">
        <v>72</v>
      </c>
      <c r="D199" s="158">
        <v>30</v>
      </c>
      <c r="E199" s="158"/>
      <c r="F199" s="185">
        <f t="shared" si="11"/>
        <v>0</v>
      </c>
      <c r="G199" s="280">
        <v>0.0005</v>
      </c>
      <c r="H199" s="280">
        <f t="shared" si="12"/>
        <v>0.015</v>
      </c>
      <c r="I199" s="187"/>
    </row>
    <row r="200" spans="1:9" ht="12.75">
      <c r="A200" s="237" t="s">
        <v>86</v>
      </c>
      <c r="B200" s="161" t="s">
        <v>253</v>
      </c>
      <c r="C200" s="159" t="s">
        <v>72</v>
      </c>
      <c r="D200" s="158">
        <v>10</v>
      </c>
      <c r="E200" s="158"/>
      <c r="F200" s="185">
        <f t="shared" si="11"/>
        <v>0</v>
      </c>
      <c r="G200" s="280">
        <v>0.0005</v>
      </c>
      <c r="H200" s="280">
        <f t="shared" si="12"/>
        <v>0.005</v>
      </c>
      <c r="I200" s="187"/>
    </row>
    <row r="201" spans="1:9" ht="12.75">
      <c r="A201" s="237" t="s">
        <v>86</v>
      </c>
      <c r="B201" s="161" t="s">
        <v>254</v>
      </c>
      <c r="C201" s="159" t="s">
        <v>72</v>
      </c>
      <c r="D201" s="158">
        <v>21</v>
      </c>
      <c r="E201" s="158"/>
      <c r="F201" s="185">
        <f t="shared" si="11"/>
        <v>0</v>
      </c>
      <c r="G201" s="280">
        <v>0.0005</v>
      </c>
      <c r="H201" s="280">
        <f t="shared" si="12"/>
        <v>0.0105</v>
      </c>
      <c r="I201" s="187"/>
    </row>
    <row r="202" spans="1:9" ht="12.75">
      <c r="A202" s="237" t="s">
        <v>86</v>
      </c>
      <c r="B202" s="161" t="s">
        <v>256</v>
      </c>
      <c r="C202" s="159" t="s">
        <v>72</v>
      </c>
      <c r="D202" s="158">
        <v>7</v>
      </c>
      <c r="E202" s="158"/>
      <c r="F202" s="185">
        <f t="shared" si="11"/>
        <v>0</v>
      </c>
      <c r="G202" s="280">
        <v>0.0005</v>
      </c>
      <c r="H202" s="280">
        <f t="shared" si="12"/>
        <v>0.0035</v>
      </c>
      <c r="I202" s="187"/>
    </row>
    <row r="203" spans="1:9" ht="12.75">
      <c r="A203" s="237" t="s">
        <v>86</v>
      </c>
      <c r="B203" s="161" t="s">
        <v>258</v>
      </c>
      <c r="C203" s="159" t="s">
        <v>72</v>
      </c>
      <c r="D203" s="158">
        <v>10</v>
      </c>
      <c r="E203" s="158"/>
      <c r="F203" s="185">
        <f t="shared" si="11"/>
        <v>0</v>
      </c>
      <c r="G203" s="280">
        <v>0.0005</v>
      </c>
      <c r="H203" s="280">
        <f t="shared" si="12"/>
        <v>0.005</v>
      </c>
      <c r="I203" s="187"/>
    </row>
    <row r="204" spans="1:9" ht="12.75">
      <c r="A204" s="237" t="s">
        <v>86</v>
      </c>
      <c r="B204" s="171" t="s">
        <v>261</v>
      </c>
      <c r="C204" s="159" t="s">
        <v>72</v>
      </c>
      <c r="D204" s="158">
        <v>37</v>
      </c>
      <c r="E204" s="158"/>
      <c r="F204" s="185">
        <f t="shared" si="11"/>
        <v>0</v>
      </c>
      <c r="G204" s="280">
        <v>0.0005</v>
      </c>
      <c r="H204" s="280">
        <f t="shared" si="12"/>
        <v>0.0185</v>
      </c>
      <c r="I204" s="187"/>
    </row>
    <row r="205" spans="1:9" ht="12.75">
      <c r="A205" s="237" t="s">
        <v>86</v>
      </c>
      <c r="B205" s="161" t="s">
        <v>263</v>
      </c>
      <c r="C205" s="159" t="s">
        <v>72</v>
      </c>
      <c r="D205" s="158">
        <v>24</v>
      </c>
      <c r="E205" s="158"/>
      <c r="F205" s="185">
        <f t="shared" si="11"/>
        <v>0</v>
      </c>
      <c r="G205" s="280">
        <v>0.0005</v>
      </c>
      <c r="H205" s="280">
        <f t="shared" si="12"/>
        <v>0.012</v>
      </c>
      <c r="I205" s="187"/>
    </row>
    <row r="206" spans="1:9" ht="12.75">
      <c r="A206" s="237" t="s">
        <v>86</v>
      </c>
      <c r="B206" s="161" t="s">
        <v>264</v>
      </c>
      <c r="C206" s="159" t="s">
        <v>72</v>
      </c>
      <c r="D206" s="158">
        <v>23</v>
      </c>
      <c r="E206" s="158"/>
      <c r="F206" s="185">
        <f t="shared" si="11"/>
        <v>0</v>
      </c>
      <c r="G206" s="280">
        <v>0.0005</v>
      </c>
      <c r="H206" s="280">
        <f t="shared" si="12"/>
        <v>0.0115</v>
      </c>
      <c r="I206" s="187"/>
    </row>
    <row r="207" spans="1:9" ht="12.75">
      <c r="A207" s="237" t="s">
        <v>86</v>
      </c>
      <c r="B207" s="161" t="s">
        <v>265</v>
      </c>
      <c r="C207" s="159" t="s">
        <v>72</v>
      </c>
      <c r="D207" s="158">
        <v>16</v>
      </c>
      <c r="E207" s="158"/>
      <c r="F207" s="185">
        <f t="shared" si="11"/>
        <v>0</v>
      </c>
      <c r="G207" s="280">
        <v>0.0005</v>
      </c>
      <c r="H207" s="280">
        <f t="shared" si="12"/>
        <v>0.008</v>
      </c>
      <c r="I207" s="187"/>
    </row>
    <row r="208" spans="1:9" ht="12.75">
      <c r="A208" s="237" t="s">
        <v>86</v>
      </c>
      <c r="B208" s="161" t="s">
        <v>266</v>
      </c>
      <c r="C208" s="159" t="s">
        <v>72</v>
      </c>
      <c r="D208" s="158">
        <v>18</v>
      </c>
      <c r="E208" s="158"/>
      <c r="F208" s="185">
        <f t="shared" si="11"/>
        <v>0</v>
      </c>
      <c r="G208" s="280">
        <v>0.0005</v>
      </c>
      <c r="H208" s="280">
        <f t="shared" si="12"/>
        <v>0.009000000000000001</v>
      </c>
      <c r="I208" s="187"/>
    </row>
    <row r="209" spans="1:9" ht="12.75">
      <c r="A209" s="237" t="s">
        <v>86</v>
      </c>
      <c r="B209" s="161" t="s">
        <v>268</v>
      </c>
      <c r="C209" s="159" t="s">
        <v>72</v>
      </c>
      <c r="D209" s="158">
        <v>21</v>
      </c>
      <c r="E209" s="158"/>
      <c r="F209" s="185">
        <f t="shared" si="11"/>
        <v>0</v>
      </c>
      <c r="G209" s="280">
        <v>0.0005</v>
      </c>
      <c r="H209" s="280">
        <f t="shared" si="12"/>
        <v>0.0105</v>
      </c>
      <c r="I209" s="187"/>
    </row>
    <row r="210" spans="1:9" ht="12.75">
      <c r="A210" s="237" t="s">
        <v>86</v>
      </c>
      <c r="B210" s="161" t="s">
        <v>355</v>
      </c>
      <c r="C210" s="159" t="s">
        <v>72</v>
      </c>
      <c r="D210" s="158">
        <v>5</v>
      </c>
      <c r="E210" s="158"/>
      <c r="F210" s="185">
        <f t="shared" si="11"/>
        <v>0</v>
      </c>
      <c r="G210" s="280">
        <v>0.0005</v>
      </c>
      <c r="H210" s="280">
        <f t="shared" si="12"/>
        <v>0.0025</v>
      </c>
      <c r="I210" s="187"/>
    </row>
    <row r="211" spans="1:9" ht="12.75">
      <c r="A211" s="237" t="s">
        <v>86</v>
      </c>
      <c r="B211" s="161" t="s">
        <v>270</v>
      </c>
      <c r="C211" s="159" t="s">
        <v>72</v>
      </c>
      <c r="D211" s="158">
        <v>8</v>
      </c>
      <c r="E211" s="158"/>
      <c r="F211" s="185">
        <f t="shared" si="11"/>
        <v>0</v>
      </c>
      <c r="G211" s="280">
        <v>0.0005</v>
      </c>
      <c r="H211" s="280">
        <f aca="true" t="shared" si="13" ref="H211:H233">G211*D211</f>
        <v>0.004</v>
      </c>
      <c r="I211" s="187"/>
    </row>
    <row r="212" spans="1:9" ht="12.75">
      <c r="A212" s="237" t="s">
        <v>86</v>
      </c>
      <c r="B212" s="171" t="s">
        <v>468</v>
      </c>
      <c r="C212" s="159" t="s">
        <v>72</v>
      </c>
      <c r="D212" s="158">
        <v>20</v>
      </c>
      <c r="E212" s="158"/>
      <c r="F212" s="185">
        <f t="shared" si="11"/>
        <v>0</v>
      </c>
      <c r="G212" s="280">
        <v>0.0005</v>
      </c>
      <c r="H212" s="280">
        <f t="shared" si="13"/>
        <v>0.01</v>
      </c>
      <c r="I212" s="187"/>
    </row>
    <row r="213" spans="1:9" ht="12.75">
      <c r="A213" s="237" t="s">
        <v>86</v>
      </c>
      <c r="B213" s="171" t="s">
        <v>212</v>
      </c>
      <c r="C213" s="159" t="s">
        <v>72</v>
      </c>
      <c r="D213" s="158">
        <v>15</v>
      </c>
      <c r="E213" s="158"/>
      <c r="F213" s="185">
        <f t="shared" si="11"/>
        <v>0</v>
      </c>
      <c r="G213" s="280">
        <v>0.0005</v>
      </c>
      <c r="H213" s="280">
        <f t="shared" si="13"/>
        <v>0.0075</v>
      </c>
      <c r="I213" s="187"/>
    </row>
    <row r="214" spans="1:9" ht="12.75">
      <c r="A214" s="237" t="s">
        <v>86</v>
      </c>
      <c r="B214" s="171" t="s">
        <v>424</v>
      </c>
      <c r="C214" s="159" t="s">
        <v>72</v>
      </c>
      <c r="D214" s="158">
        <v>14</v>
      </c>
      <c r="E214" s="158"/>
      <c r="F214" s="185">
        <f t="shared" si="11"/>
        <v>0</v>
      </c>
      <c r="G214" s="280">
        <v>0.0005</v>
      </c>
      <c r="H214" s="280">
        <f t="shared" si="13"/>
        <v>0.007</v>
      </c>
      <c r="I214" s="187"/>
    </row>
    <row r="215" spans="1:9" ht="12.75">
      <c r="A215" s="237" t="s">
        <v>86</v>
      </c>
      <c r="B215" s="171" t="s">
        <v>469</v>
      </c>
      <c r="C215" s="159" t="s">
        <v>72</v>
      </c>
      <c r="D215" s="158">
        <v>12</v>
      </c>
      <c r="E215" s="158"/>
      <c r="F215" s="185">
        <f t="shared" si="11"/>
        <v>0</v>
      </c>
      <c r="G215" s="280">
        <v>0.0005</v>
      </c>
      <c r="H215" s="280">
        <f t="shared" si="13"/>
        <v>0.006</v>
      </c>
      <c r="I215" s="187"/>
    </row>
    <row r="216" spans="1:9" ht="12.75">
      <c r="A216" s="237" t="s">
        <v>86</v>
      </c>
      <c r="B216" s="171" t="s">
        <v>215</v>
      </c>
      <c r="C216" s="159" t="s">
        <v>72</v>
      </c>
      <c r="D216" s="158">
        <v>15</v>
      </c>
      <c r="E216" s="158"/>
      <c r="F216" s="185">
        <f t="shared" si="11"/>
        <v>0</v>
      </c>
      <c r="G216" s="280">
        <v>0.0005</v>
      </c>
      <c r="H216" s="280">
        <f t="shared" si="13"/>
        <v>0.0075</v>
      </c>
      <c r="I216" s="187"/>
    </row>
    <row r="217" spans="1:9" ht="12.75">
      <c r="A217" s="237"/>
      <c r="B217" s="171"/>
      <c r="C217" s="159" t="s">
        <v>72</v>
      </c>
      <c r="D217" s="173">
        <f>SUM(D181:D216)</f>
        <v>664</v>
      </c>
      <c r="E217" s="158"/>
      <c r="F217" s="185"/>
      <c r="G217" s="280"/>
      <c r="H217" s="280"/>
      <c r="I217" s="187"/>
    </row>
    <row r="218" spans="1:9" ht="12.75">
      <c r="A218" s="237"/>
      <c r="B218" s="387" t="s">
        <v>318</v>
      </c>
      <c r="C218" s="159"/>
      <c r="D218" s="158"/>
      <c r="E218" s="158"/>
      <c r="F218" s="185"/>
      <c r="G218" s="280"/>
      <c r="H218" s="280"/>
      <c r="I218" s="187"/>
    </row>
    <row r="219" spans="1:9" ht="12.75">
      <c r="A219" s="237" t="s">
        <v>86</v>
      </c>
      <c r="B219" s="171" t="s">
        <v>283</v>
      </c>
      <c r="C219" s="159" t="s">
        <v>72</v>
      </c>
      <c r="D219" s="158">
        <v>3700</v>
      </c>
      <c r="E219" s="158"/>
      <c r="F219" s="185">
        <f t="shared" si="11"/>
        <v>0</v>
      </c>
      <c r="G219" s="280"/>
      <c r="H219" s="280"/>
      <c r="I219" s="187"/>
    </row>
    <row r="220" spans="1:9" ht="12.75">
      <c r="A220" s="237" t="s">
        <v>86</v>
      </c>
      <c r="B220" s="161" t="s">
        <v>285</v>
      </c>
      <c r="C220" s="159" t="s">
        <v>72</v>
      </c>
      <c r="D220" s="158">
        <v>300</v>
      </c>
      <c r="E220" s="158"/>
      <c r="F220" s="185">
        <f t="shared" si="11"/>
        <v>0</v>
      </c>
      <c r="G220" s="280"/>
      <c r="H220" s="280"/>
      <c r="I220" s="187"/>
    </row>
    <row r="221" spans="1:9" ht="12.75">
      <c r="A221" s="237" t="s">
        <v>86</v>
      </c>
      <c r="B221" s="161" t="s">
        <v>287</v>
      </c>
      <c r="C221" s="159" t="s">
        <v>72</v>
      </c>
      <c r="D221" s="158">
        <v>300</v>
      </c>
      <c r="E221" s="158"/>
      <c r="F221" s="185">
        <f t="shared" si="11"/>
        <v>0</v>
      </c>
      <c r="G221" s="280"/>
      <c r="H221" s="280"/>
      <c r="I221" s="187"/>
    </row>
    <row r="222" spans="1:9" ht="12.75">
      <c r="A222" s="237" t="s">
        <v>86</v>
      </c>
      <c r="B222" s="161" t="s">
        <v>289</v>
      </c>
      <c r="C222" s="159" t="s">
        <v>72</v>
      </c>
      <c r="D222" s="158">
        <v>300</v>
      </c>
      <c r="E222" s="158"/>
      <c r="F222" s="185">
        <f t="shared" si="11"/>
        <v>0</v>
      </c>
      <c r="G222" s="280"/>
      <c r="H222" s="280"/>
      <c r="I222" s="187"/>
    </row>
    <row r="223" spans="1:9" ht="12.75">
      <c r="A223" s="237" t="s">
        <v>86</v>
      </c>
      <c r="B223" s="161" t="s">
        <v>290</v>
      </c>
      <c r="C223" s="159" t="s">
        <v>72</v>
      </c>
      <c r="D223" s="158">
        <v>300</v>
      </c>
      <c r="E223" s="158"/>
      <c r="F223" s="185">
        <f t="shared" si="11"/>
        <v>0</v>
      </c>
      <c r="G223" s="280"/>
      <c r="H223" s="280"/>
      <c r="I223" s="187"/>
    </row>
    <row r="224" spans="1:9" ht="12.75">
      <c r="A224" s="237" t="s">
        <v>86</v>
      </c>
      <c r="B224" s="161" t="s">
        <v>291</v>
      </c>
      <c r="C224" s="159" t="s">
        <v>72</v>
      </c>
      <c r="D224" s="158">
        <v>300</v>
      </c>
      <c r="E224" s="158"/>
      <c r="F224" s="185">
        <f t="shared" si="11"/>
        <v>0</v>
      </c>
      <c r="G224" s="280"/>
      <c r="H224" s="280"/>
      <c r="I224" s="187"/>
    </row>
    <row r="225" spans="1:9" ht="12.75">
      <c r="A225" s="237" t="s">
        <v>86</v>
      </c>
      <c r="B225" s="161" t="s">
        <v>280</v>
      </c>
      <c r="C225" s="159" t="s">
        <v>72</v>
      </c>
      <c r="D225" s="158">
        <v>75</v>
      </c>
      <c r="E225" s="158"/>
      <c r="F225" s="185">
        <f t="shared" si="11"/>
        <v>0</v>
      </c>
      <c r="G225" s="280"/>
      <c r="H225" s="280"/>
      <c r="I225" s="187"/>
    </row>
    <row r="226" spans="1:9" ht="12.75">
      <c r="A226" s="237" t="s">
        <v>86</v>
      </c>
      <c r="B226" s="161" t="s">
        <v>281</v>
      </c>
      <c r="C226" s="159" t="s">
        <v>72</v>
      </c>
      <c r="D226" s="158">
        <v>75</v>
      </c>
      <c r="E226" s="158"/>
      <c r="F226" s="185">
        <f t="shared" si="11"/>
        <v>0</v>
      </c>
      <c r="G226" s="280"/>
      <c r="H226" s="280"/>
      <c r="I226" s="187"/>
    </row>
    <row r="227" spans="1:9" ht="12.75">
      <c r="A227" s="237" t="s">
        <v>86</v>
      </c>
      <c r="B227" s="161" t="s">
        <v>282</v>
      </c>
      <c r="C227" s="159" t="s">
        <v>72</v>
      </c>
      <c r="D227" s="158">
        <v>75</v>
      </c>
      <c r="E227" s="158"/>
      <c r="F227" s="185">
        <f t="shared" si="11"/>
        <v>0</v>
      </c>
      <c r="G227" s="280"/>
      <c r="H227" s="280"/>
      <c r="I227" s="187"/>
    </row>
    <row r="228" spans="1:9" ht="12.75">
      <c r="A228" s="237"/>
      <c r="B228" s="157"/>
      <c r="C228" s="159" t="s">
        <v>72</v>
      </c>
      <c r="D228" s="173">
        <f>SUM(D219:D227)</f>
        <v>5425</v>
      </c>
      <c r="E228" s="158"/>
      <c r="F228" s="185">
        <f t="shared" si="11"/>
        <v>0</v>
      </c>
      <c r="G228" s="280"/>
      <c r="H228" s="280"/>
      <c r="I228" s="187"/>
    </row>
    <row r="229" spans="1:12" ht="14.4">
      <c r="A229" s="237" t="s">
        <v>86</v>
      </c>
      <c r="B229" s="156" t="s">
        <v>103</v>
      </c>
      <c r="C229" s="159" t="s">
        <v>76</v>
      </c>
      <c r="D229" s="158">
        <f>4*1.05</f>
        <v>4.2</v>
      </c>
      <c r="E229" s="158"/>
      <c r="F229" s="185">
        <f t="shared" si="11"/>
        <v>0</v>
      </c>
      <c r="G229" s="280">
        <v>1.5</v>
      </c>
      <c r="H229" s="280">
        <f t="shared" si="13"/>
        <v>6.300000000000001</v>
      </c>
      <c r="I229" s="187"/>
      <c r="J229" s="251"/>
      <c r="K229" s="251"/>
      <c r="L229" s="251"/>
    </row>
    <row r="230" spans="1:12" ht="14.4">
      <c r="A230" s="237" t="s">
        <v>86</v>
      </c>
      <c r="B230" s="156" t="s">
        <v>142</v>
      </c>
      <c r="C230" s="159" t="s">
        <v>76</v>
      </c>
      <c r="D230" s="158">
        <f>4*1.05</f>
        <v>4.2</v>
      </c>
      <c r="E230" s="158"/>
      <c r="F230" s="185">
        <f t="shared" si="11"/>
        <v>0</v>
      </c>
      <c r="G230" s="280">
        <v>1</v>
      </c>
      <c r="H230" s="280">
        <f t="shared" si="13"/>
        <v>4.2</v>
      </c>
      <c r="I230" s="187"/>
      <c r="J230" s="251"/>
      <c r="K230" s="251"/>
      <c r="L230" s="251"/>
    </row>
    <row r="231" spans="1:12" ht="14.4">
      <c r="A231" s="237" t="s">
        <v>86</v>
      </c>
      <c r="B231" s="156" t="s">
        <v>143</v>
      </c>
      <c r="C231" s="159" t="s">
        <v>76</v>
      </c>
      <c r="D231" s="158">
        <f>4.4*1.05</f>
        <v>4.620000000000001</v>
      </c>
      <c r="E231" s="158"/>
      <c r="F231" s="185">
        <f t="shared" si="11"/>
        <v>0</v>
      </c>
      <c r="G231" s="280">
        <v>0.7</v>
      </c>
      <c r="H231" s="280">
        <f t="shared" si="13"/>
        <v>3.2340000000000004</v>
      </c>
      <c r="I231" s="187"/>
      <c r="J231" s="251"/>
      <c r="K231" s="251"/>
      <c r="L231" s="251"/>
    </row>
    <row r="232" spans="1:12" ht="14.4">
      <c r="A232" s="237" t="s">
        <v>86</v>
      </c>
      <c r="B232" s="156" t="s">
        <v>358</v>
      </c>
      <c r="C232" s="159" t="s">
        <v>72</v>
      </c>
      <c r="D232" s="158">
        <f>D217</f>
        <v>664</v>
      </c>
      <c r="E232" s="158"/>
      <c r="F232" s="185">
        <f t="shared" si="11"/>
        <v>0</v>
      </c>
      <c r="G232" s="280"/>
      <c r="H232" s="280"/>
      <c r="I232" s="187"/>
      <c r="J232" s="251"/>
      <c r="K232" s="251"/>
      <c r="L232" s="251"/>
    </row>
    <row r="233" spans="1:12" ht="14.4">
      <c r="A233" s="237" t="s">
        <v>86</v>
      </c>
      <c r="B233" s="156" t="s">
        <v>146</v>
      </c>
      <c r="C233" s="159" t="s">
        <v>72</v>
      </c>
      <c r="D233" s="158">
        <v>24</v>
      </c>
      <c r="E233" s="158"/>
      <c r="F233" s="185">
        <f t="shared" si="11"/>
        <v>0</v>
      </c>
      <c r="G233" s="280">
        <f>(0.00089*0.6)</f>
        <v>0.000534</v>
      </c>
      <c r="H233" s="280">
        <f t="shared" si="13"/>
        <v>0.012816</v>
      </c>
      <c r="I233" s="187"/>
      <c r="J233" s="251"/>
      <c r="K233" s="251"/>
      <c r="L233" s="251"/>
    </row>
    <row r="234" spans="1:12" ht="14.4">
      <c r="A234" s="237" t="s">
        <v>86</v>
      </c>
      <c r="B234" s="156" t="s">
        <v>410</v>
      </c>
      <c r="C234" s="159" t="s">
        <v>105</v>
      </c>
      <c r="D234" s="158">
        <v>36</v>
      </c>
      <c r="E234" s="158"/>
      <c r="F234" s="185">
        <f t="shared" si="11"/>
        <v>0</v>
      </c>
      <c r="G234" s="280"/>
      <c r="H234" s="280"/>
      <c r="I234" s="187"/>
      <c r="J234" s="251"/>
      <c r="K234" s="251"/>
      <c r="L234" s="251"/>
    </row>
    <row r="235" spans="1:12" ht="14.4">
      <c r="A235" s="237" t="s">
        <v>79</v>
      </c>
      <c r="B235" s="156" t="s">
        <v>411</v>
      </c>
      <c r="C235" s="159" t="s">
        <v>105</v>
      </c>
      <c r="D235" s="158">
        <f>D234</f>
        <v>36</v>
      </c>
      <c r="E235" s="158"/>
      <c r="F235" s="185">
        <f t="shared" si="11"/>
        <v>0</v>
      </c>
      <c r="G235" s="280"/>
      <c r="H235" s="280"/>
      <c r="I235" s="187"/>
      <c r="J235" s="251"/>
      <c r="K235" s="251"/>
      <c r="L235" s="251"/>
    </row>
    <row r="236" spans="1:12" ht="14.4">
      <c r="A236" s="237" t="s">
        <v>79</v>
      </c>
      <c r="B236" s="156" t="s">
        <v>145</v>
      </c>
      <c r="C236" s="159" t="s">
        <v>75</v>
      </c>
      <c r="D236" s="158">
        <f>D179</f>
        <v>88.3</v>
      </c>
      <c r="E236" s="158"/>
      <c r="F236" s="185">
        <f t="shared" si="11"/>
        <v>0</v>
      </c>
      <c r="G236" s="280"/>
      <c r="H236" s="280"/>
      <c r="I236" s="187"/>
      <c r="J236" s="251"/>
      <c r="K236" s="251"/>
      <c r="L236" s="251"/>
    </row>
    <row r="237" spans="1:12" ht="14.4">
      <c r="A237" s="237" t="s">
        <v>85</v>
      </c>
      <c r="B237" s="156" t="s">
        <v>131</v>
      </c>
      <c r="C237" s="159" t="s">
        <v>76</v>
      </c>
      <c r="D237" s="158">
        <f>D229+D230</f>
        <v>8.4</v>
      </c>
      <c r="E237" s="158"/>
      <c r="F237" s="185">
        <f t="shared" si="11"/>
        <v>0</v>
      </c>
      <c r="G237" s="280"/>
      <c r="H237" s="280"/>
      <c r="I237" s="187"/>
      <c r="J237" s="251"/>
      <c r="K237" s="251"/>
      <c r="L237" s="251"/>
    </row>
    <row r="238" spans="1:12" ht="14.4">
      <c r="A238" s="237" t="s">
        <v>87</v>
      </c>
      <c r="B238" s="156" t="s">
        <v>88</v>
      </c>
      <c r="C238" s="159" t="s">
        <v>76</v>
      </c>
      <c r="D238" s="158">
        <f>D237</f>
        <v>8.4</v>
      </c>
      <c r="E238" s="158"/>
      <c r="F238" s="185">
        <f t="shared" si="11"/>
        <v>0</v>
      </c>
      <c r="G238" s="280"/>
      <c r="H238" s="280"/>
      <c r="I238" s="187"/>
      <c r="J238" s="251"/>
      <c r="K238" s="251"/>
      <c r="L238" s="251"/>
    </row>
    <row r="239" spans="1:12" ht="14.4">
      <c r="A239" s="237" t="s">
        <v>89</v>
      </c>
      <c r="B239" s="156" t="s">
        <v>90</v>
      </c>
      <c r="C239" s="159" t="s">
        <v>76</v>
      </c>
      <c r="D239" s="158">
        <f>D237</f>
        <v>8.4</v>
      </c>
      <c r="E239" s="158"/>
      <c r="F239" s="185">
        <f t="shared" si="11"/>
        <v>0</v>
      </c>
      <c r="G239" s="280"/>
      <c r="H239" s="280"/>
      <c r="I239" s="187"/>
      <c r="J239" s="251"/>
      <c r="K239" s="251"/>
      <c r="L239" s="251"/>
    </row>
    <row r="240" spans="1:12" ht="14.4">
      <c r="A240" s="237" t="s">
        <v>139</v>
      </c>
      <c r="B240" s="156" t="s">
        <v>198</v>
      </c>
      <c r="C240" s="159" t="s">
        <v>75</v>
      </c>
      <c r="D240" s="158">
        <f>D179</f>
        <v>88.3</v>
      </c>
      <c r="E240" s="158"/>
      <c r="F240" s="185">
        <f t="shared" si="11"/>
        <v>0</v>
      </c>
      <c r="G240" s="280"/>
      <c r="H240" s="280"/>
      <c r="I240" s="187"/>
      <c r="J240" s="251"/>
      <c r="K240" s="251"/>
      <c r="L240" s="251"/>
    </row>
    <row r="241" spans="1:12" ht="14.4">
      <c r="A241" s="237" t="s">
        <v>91</v>
      </c>
      <c r="B241" s="156" t="s">
        <v>125</v>
      </c>
      <c r="C241" s="159" t="s">
        <v>75</v>
      </c>
      <c r="D241" s="158">
        <f>D179*2</f>
        <v>176.6</v>
      </c>
      <c r="E241" s="158"/>
      <c r="F241" s="185">
        <f t="shared" si="11"/>
        <v>0</v>
      </c>
      <c r="G241" s="280"/>
      <c r="H241" s="280"/>
      <c r="I241" s="187"/>
      <c r="J241" s="251"/>
      <c r="K241" s="249"/>
      <c r="L241" s="249"/>
    </row>
    <row r="242" spans="1:9" ht="12.75">
      <c r="A242" s="237" t="s">
        <v>92</v>
      </c>
      <c r="B242" s="156" t="s">
        <v>294</v>
      </c>
      <c r="C242" s="159" t="s">
        <v>75</v>
      </c>
      <c r="D242" s="158">
        <f>D179*2</f>
        <v>176.6</v>
      </c>
      <c r="E242" s="158"/>
      <c r="F242" s="185">
        <f t="shared" si="11"/>
        <v>0</v>
      </c>
      <c r="G242" s="280"/>
      <c r="H242" s="280"/>
      <c r="I242" s="187"/>
    </row>
    <row r="243" spans="1:9" ht="12.75">
      <c r="A243" s="237" t="s">
        <v>201</v>
      </c>
      <c r="B243" s="156" t="s">
        <v>140</v>
      </c>
      <c r="C243" s="159" t="s">
        <v>72</v>
      </c>
      <c r="D243" s="158">
        <f>D217</f>
        <v>664</v>
      </c>
      <c r="E243" s="158"/>
      <c r="F243" s="185">
        <f t="shared" si="11"/>
        <v>0</v>
      </c>
      <c r="G243" s="280"/>
      <c r="H243" s="280"/>
      <c r="I243" s="187"/>
    </row>
    <row r="244" spans="1:9" ht="20.4">
      <c r="A244" s="237" t="s">
        <v>199</v>
      </c>
      <c r="B244" s="156" t="s">
        <v>200</v>
      </c>
      <c r="C244" s="159" t="s">
        <v>72</v>
      </c>
      <c r="D244" s="158">
        <f>D217</f>
        <v>664</v>
      </c>
      <c r="E244" s="158"/>
      <c r="F244" s="185">
        <f t="shared" si="11"/>
        <v>0</v>
      </c>
      <c r="G244" s="280"/>
      <c r="H244" s="280"/>
      <c r="I244" s="187"/>
    </row>
    <row r="245" spans="1:9" ht="12.75">
      <c r="A245" s="237" t="s">
        <v>201</v>
      </c>
      <c r="B245" s="156" t="s">
        <v>140</v>
      </c>
      <c r="C245" s="159" t="s">
        <v>72</v>
      </c>
      <c r="D245" s="158">
        <f>D228</f>
        <v>5425</v>
      </c>
      <c r="E245" s="158"/>
      <c r="F245" s="185">
        <f t="shared" si="11"/>
        <v>0</v>
      </c>
      <c r="G245" s="280"/>
      <c r="H245" s="280"/>
      <c r="I245" s="187"/>
    </row>
    <row r="246" spans="1:9" ht="12.75">
      <c r="A246" s="237" t="s">
        <v>295</v>
      </c>
      <c r="B246" s="156" t="s">
        <v>296</v>
      </c>
      <c r="C246" s="159" t="s">
        <v>72</v>
      </c>
      <c r="D246" s="158">
        <f>D228</f>
        <v>5425</v>
      </c>
      <c r="E246" s="158"/>
      <c r="F246" s="185">
        <f t="shared" si="11"/>
        <v>0</v>
      </c>
      <c r="G246" s="280"/>
      <c r="H246" s="280"/>
      <c r="I246" s="187"/>
    </row>
    <row r="247" spans="1:9" ht="12.75">
      <c r="A247" s="237" t="s">
        <v>95</v>
      </c>
      <c r="B247" s="156" t="s">
        <v>124</v>
      </c>
      <c r="C247" s="159" t="s">
        <v>77</v>
      </c>
      <c r="D247" s="158">
        <f>(D232/100000)</f>
        <v>0.00664</v>
      </c>
      <c r="E247" s="158"/>
      <c r="F247" s="185">
        <f aca="true" t="shared" si="14" ref="F247:F312">E247*D247</f>
        <v>0</v>
      </c>
      <c r="G247" s="280"/>
      <c r="H247" s="280"/>
      <c r="I247" s="187"/>
    </row>
    <row r="248" spans="1:9" ht="12.75">
      <c r="A248" s="237" t="s">
        <v>121</v>
      </c>
      <c r="B248" s="156" t="s">
        <v>147</v>
      </c>
      <c r="C248" s="159" t="s">
        <v>75</v>
      </c>
      <c r="D248" s="158">
        <f>D179</f>
        <v>88.3</v>
      </c>
      <c r="E248" s="158"/>
      <c r="F248" s="185">
        <f t="shared" si="14"/>
        <v>0</v>
      </c>
      <c r="G248" s="280"/>
      <c r="H248" s="280"/>
      <c r="I248" s="187"/>
    </row>
    <row r="249" spans="1:9" ht="12.75">
      <c r="A249" s="237" t="s">
        <v>98</v>
      </c>
      <c r="B249" s="156" t="s">
        <v>99</v>
      </c>
      <c r="C249" s="159" t="s">
        <v>76</v>
      </c>
      <c r="D249" s="158">
        <f>D179*0.02</f>
        <v>1.766</v>
      </c>
      <c r="E249" s="158"/>
      <c r="F249" s="185">
        <f t="shared" si="14"/>
        <v>0</v>
      </c>
      <c r="G249" s="280"/>
      <c r="H249" s="280"/>
      <c r="I249" s="187"/>
    </row>
    <row r="250" spans="1:9" ht="13.8" thickBot="1">
      <c r="A250" s="237" t="s">
        <v>100</v>
      </c>
      <c r="B250" s="156" t="s">
        <v>101</v>
      </c>
      <c r="C250" s="159" t="s">
        <v>77</v>
      </c>
      <c r="D250" s="158">
        <f>H250</f>
        <v>14.078816000000002</v>
      </c>
      <c r="E250" s="158"/>
      <c r="F250" s="185">
        <f>E250*D250</f>
        <v>0</v>
      </c>
      <c r="G250" s="280"/>
      <c r="H250" s="280">
        <f>SUM(H179:H249)</f>
        <v>14.078816000000002</v>
      </c>
      <c r="I250" s="187"/>
    </row>
    <row r="251" spans="1:9" ht="13.8" thickBot="1">
      <c r="A251" s="302"/>
      <c r="B251" s="206" t="s">
        <v>183</v>
      </c>
      <c r="C251" s="207" t="s">
        <v>75</v>
      </c>
      <c r="D251" s="427">
        <v>18.4</v>
      </c>
      <c r="E251" s="194"/>
      <c r="F251" s="195"/>
      <c r="G251" s="294"/>
      <c r="H251" s="294"/>
      <c r="I251" s="329">
        <f>SUM(F252:F292)</f>
        <v>0</v>
      </c>
    </row>
    <row r="252" spans="1:9" ht="12.75">
      <c r="A252" s="241"/>
      <c r="B252" s="204" t="s">
        <v>159</v>
      </c>
      <c r="C252" s="205"/>
      <c r="D252" s="189"/>
      <c r="E252" s="189"/>
      <c r="F252" s="190"/>
      <c r="G252" s="293"/>
      <c r="H252" s="293"/>
      <c r="I252" s="187"/>
    </row>
    <row r="253" spans="1:9" ht="12.75">
      <c r="A253" s="237" t="s">
        <v>86</v>
      </c>
      <c r="B253" s="171" t="s">
        <v>211</v>
      </c>
      <c r="C253" s="159" t="s">
        <v>72</v>
      </c>
      <c r="D253" s="158">
        <v>6</v>
      </c>
      <c r="E253" s="158"/>
      <c r="F253" s="185">
        <f t="shared" si="14"/>
        <v>0</v>
      </c>
      <c r="G253" s="280">
        <v>0.0005</v>
      </c>
      <c r="H253" s="280">
        <f aca="true" t="shared" si="15" ref="H253:H276">G253*D253</f>
        <v>0.003</v>
      </c>
      <c r="I253" s="187"/>
    </row>
    <row r="254" spans="1:9" ht="12.75">
      <c r="A254" s="237" t="s">
        <v>86</v>
      </c>
      <c r="B254" s="171" t="s">
        <v>250</v>
      </c>
      <c r="C254" s="159" t="s">
        <v>72</v>
      </c>
      <c r="D254" s="158">
        <v>15</v>
      </c>
      <c r="E254" s="158"/>
      <c r="F254" s="185">
        <f t="shared" si="14"/>
        <v>0</v>
      </c>
      <c r="G254" s="280">
        <v>0.0005</v>
      </c>
      <c r="H254" s="280">
        <f t="shared" si="15"/>
        <v>0.0075</v>
      </c>
      <c r="I254" s="187"/>
    </row>
    <row r="255" spans="1:9" ht="12.75">
      <c r="A255" s="237" t="s">
        <v>86</v>
      </c>
      <c r="B255" s="171" t="s">
        <v>260</v>
      </c>
      <c r="C255" s="159" t="s">
        <v>72</v>
      </c>
      <c r="D255" s="158">
        <v>12</v>
      </c>
      <c r="E255" s="158"/>
      <c r="F255" s="185">
        <f t="shared" si="14"/>
        <v>0</v>
      </c>
      <c r="G255" s="280">
        <v>0.0005</v>
      </c>
      <c r="H255" s="280">
        <f t="shared" si="15"/>
        <v>0.006</v>
      </c>
      <c r="I255" s="187"/>
    </row>
    <row r="256" spans="1:9" ht="12.75">
      <c r="A256" s="237" t="s">
        <v>86</v>
      </c>
      <c r="B256" s="171" t="s">
        <v>262</v>
      </c>
      <c r="C256" s="159" t="s">
        <v>72</v>
      </c>
      <c r="D256" s="158">
        <v>10</v>
      </c>
      <c r="E256" s="158"/>
      <c r="F256" s="185">
        <f t="shared" si="14"/>
        <v>0</v>
      </c>
      <c r="G256" s="280">
        <v>0.0005</v>
      </c>
      <c r="H256" s="280">
        <f t="shared" si="15"/>
        <v>0.005</v>
      </c>
      <c r="I256" s="187"/>
    </row>
    <row r="257" spans="1:9" ht="12.75">
      <c r="A257" s="237" t="s">
        <v>86</v>
      </c>
      <c r="B257" s="171" t="s">
        <v>265</v>
      </c>
      <c r="C257" s="159" t="s">
        <v>72</v>
      </c>
      <c r="D257" s="158">
        <v>15</v>
      </c>
      <c r="E257" s="158"/>
      <c r="F257" s="185">
        <f t="shared" si="14"/>
        <v>0</v>
      </c>
      <c r="G257" s="280">
        <v>0.0005</v>
      </c>
      <c r="H257" s="280">
        <f t="shared" si="15"/>
        <v>0.0075</v>
      </c>
      <c r="I257" s="187"/>
    </row>
    <row r="258" spans="1:9" ht="12.75">
      <c r="A258" s="237" t="s">
        <v>86</v>
      </c>
      <c r="B258" s="171" t="s">
        <v>266</v>
      </c>
      <c r="C258" s="159" t="s">
        <v>72</v>
      </c>
      <c r="D258" s="158">
        <v>24</v>
      </c>
      <c r="E258" s="158"/>
      <c r="F258" s="185">
        <f t="shared" si="14"/>
        <v>0</v>
      </c>
      <c r="G258" s="280">
        <v>0.0005</v>
      </c>
      <c r="H258" s="280">
        <f t="shared" si="15"/>
        <v>0.012</v>
      </c>
      <c r="I258" s="187"/>
    </row>
    <row r="259" spans="1:9" ht="12.75">
      <c r="A259" s="237" t="s">
        <v>86</v>
      </c>
      <c r="B259" s="171" t="s">
        <v>268</v>
      </c>
      <c r="C259" s="159" t="s">
        <v>72</v>
      </c>
      <c r="D259" s="158">
        <v>28</v>
      </c>
      <c r="E259" s="158"/>
      <c r="F259" s="185">
        <f t="shared" si="14"/>
        <v>0</v>
      </c>
      <c r="G259" s="280">
        <v>0.0005</v>
      </c>
      <c r="H259" s="280">
        <f t="shared" si="15"/>
        <v>0.014</v>
      </c>
      <c r="I259" s="187"/>
    </row>
    <row r="260" spans="1:9" ht="12.75">
      <c r="A260" s="237" t="s">
        <v>86</v>
      </c>
      <c r="B260" s="171" t="s">
        <v>270</v>
      </c>
      <c r="C260" s="159" t="s">
        <v>72</v>
      </c>
      <c r="D260" s="158">
        <v>3</v>
      </c>
      <c r="E260" s="158"/>
      <c r="F260" s="185">
        <f t="shared" si="14"/>
        <v>0</v>
      </c>
      <c r="G260" s="280">
        <v>0.0005</v>
      </c>
      <c r="H260" s="280">
        <f t="shared" si="15"/>
        <v>0.0015</v>
      </c>
      <c r="I260" s="187"/>
    </row>
    <row r="261" spans="1:9" ht="12.75">
      <c r="A261" s="237" t="s">
        <v>86</v>
      </c>
      <c r="B261" s="160" t="s">
        <v>468</v>
      </c>
      <c r="C261" s="159" t="s">
        <v>72</v>
      </c>
      <c r="D261" s="158">
        <v>7</v>
      </c>
      <c r="E261" s="158"/>
      <c r="F261" s="185">
        <f t="shared" si="14"/>
        <v>0</v>
      </c>
      <c r="G261" s="280">
        <v>0.0005</v>
      </c>
      <c r="H261" s="280">
        <f t="shared" si="15"/>
        <v>0.0035</v>
      </c>
      <c r="I261" s="187"/>
    </row>
    <row r="262" spans="1:9" ht="12.75">
      <c r="A262" s="237" t="s">
        <v>86</v>
      </c>
      <c r="B262" s="160" t="s">
        <v>424</v>
      </c>
      <c r="C262" s="159" t="s">
        <v>72</v>
      </c>
      <c r="D262" s="158">
        <v>9</v>
      </c>
      <c r="E262" s="158"/>
      <c r="F262" s="185">
        <f t="shared" si="14"/>
        <v>0</v>
      </c>
      <c r="G262" s="280">
        <v>0.0005</v>
      </c>
      <c r="H262" s="280">
        <f t="shared" si="15"/>
        <v>0.0045000000000000005</v>
      </c>
      <c r="I262" s="187"/>
    </row>
    <row r="263" spans="1:9" ht="12.75">
      <c r="A263" s="237" t="s">
        <v>86</v>
      </c>
      <c r="B263" s="160" t="s">
        <v>470</v>
      </c>
      <c r="C263" s="159" t="s">
        <v>72</v>
      </c>
      <c r="D263" s="158">
        <v>5</v>
      </c>
      <c r="E263" s="158"/>
      <c r="F263" s="185">
        <f t="shared" si="14"/>
        <v>0</v>
      </c>
      <c r="G263" s="280">
        <v>0.0005</v>
      </c>
      <c r="H263" s="280">
        <f t="shared" si="15"/>
        <v>0.0025</v>
      </c>
      <c r="I263" s="187"/>
    </row>
    <row r="264" spans="1:9" ht="12.75">
      <c r="A264" s="237" t="s">
        <v>86</v>
      </c>
      <c r="B264" s="160" t="s">
        <v>469</v>
      </c>
      <c r="C264" s="159" t="s">
        <v>72</v>
      </c>
      <c r="D264" s="158">
        <v>3</v>
      </c>
      <c r="E264" s="158"/>
      <c r="F264" s="185">
        <f t="shared" si="14"/>
        <v>0</v>
      </c>
      <c r="G264" s="280">
        <v>0.0005</v>
      </c>
      <c r="H264" s="280">
        <f t="shared" si="15"/>
        <v>0.0015</v>
      </c>
      <c r="I264" s="187"/>
    </row>
    <row r="265" spans="1:9" ht="12.75">
      <c r="A265" s="237"/>
      <c r="B265" s="157"/>
      <c r="C265" s="159" t="s">
        <v>72</v>
      </c>
      <c r="D265" s="173">
        <f>SUM(D253:D264)</f>
        <v>137</v>
      </c>
      <c r="E265" s="158"/>
      <c r="F265" s="185"/>
      <c r="G265" s="280"/>
      <c r="H265" s="280"/>
      <c r="I265" s="187"/>
    </row>
    <row r="266" spans="1:9" ht="12.75">
      <c r="A266" s="237"/>
      <c r="B266" s="157" t="s">
        <v>318</v>
      </c>
      <c r="C266" s="159"/>
      <c r="D266" s="158"/>
      <c r="E266" s="158"/>
      <c r="F266" s="185"/>
      <c r="G266" s="280"/>
      <c r="H266" s="280"/>
      <c r="I266" s="187"/>
    </row>
    <row r="267" spans="1:9" ht="12.75">
      <c r="A267" s="237" t="s">
        <v>86</v>
      </c>
      <c r="B267" s="161" t="s">
        <v>279</v>
      </c>
      <c r="C267" s="159" t="s">
        <v>72</v>
      </c>
      <c r="D267" s="158">
        <v>540</v>
      </c>
      <c r="E267" s="158"/>
      <c r="F267" s="185">
        <f t="shared" si="14"/>
        <v>0</v>
      </c>
      <c r="G267" s="280"/>
      <c r="H267" s="280"/>
      <c r="I267" s="187"/>
    </row>
    <row r="268" spans="1:9" ht="12.75">
      <c r="A268" s="237" t="s">
        <v>86</v>
      </c>
      <c r="B268" s="161" t="s">
        <v>285</v>
      </c>
      <c r="C268" s="159" t="s">
        <v>72</v>
      </c>
      <c r="D268" s="158">
        <v>39</v>
      </c>
      <c r="E268" s="158"/>
      <c r="F268" s="185">
        <f t="shared" si="14"/>
        <v>0</v>
      </c>
      <c r="G268" s="280"/>
      <c r="H268" s="280"/>
      <c r="I268" s="187"/>
    </row>
    <row r="269" spans="1:9" ht="12.75">
      <c r="A269" s="237" t="s">
        <v>86</v>
      </c>
      <c r="B269" s="161" t="s">
        <v>287</v>
      </c>
      <c r="C269" s="159" t="s">
        <v>72</v>
      </c>
      <c r="D269" s="158">
        <v>39</v>
      </c>
      <c r="E269" s="158"/>
      <c r="F269" s="185">
        <f t="shared" si="14"/>
        <v>0</v>
      </c>
      <c r="G269" s="280"/>
      <c r="H269" s="280"/>
      <c r="I269" s="187"/>
    </row>
    <row r="270" spans="1:9" ht="12.75">
      <c r="A270" s="237" t="s">
        <v>86</v>
      </c>
      <c r="B270" s="161" t="s">
        <v>289</v>
      </c>
      <c r="C270" s="159" t="s">
        <v>72</v>
      </c>
      <c r="D270" s="158">
        <v>39</v>
      </c>
      <c r="E270" s="158"/>
      <c r="F270" s="185">
        <f t="shared" si="14"/>
        <v>0</v>
      </c>
      <c r="G270" s="280"/>
      <c r="H270" s="280"/>
      <c r="I270" s="187"/>
    </row>
    <row r="271" spans="1:9" ht="12.75">
      <c r="A271" s="237" t="s">
        <v>86</v>
      </c>
      <c r="B271" s="161" t="s">
        <v>290</v>
      </c>
      <c r="C271" s="159" t="s">
        <v>72</v>
      </c>
      <c r="D271" s="158">
        <v>39</v>
      </c>
      <c r="E271" s="158"/>
      <c r="F271" s="185">
        <f t="shared" si="14"/>
        <v>0</v>
      </c>
      <c r="G271" s="280"/>
      <c r="H271" s="280"/>
      <c r="I271" s="187"/>
    </row>
    <row r="272" spans="1:9" ht="12.75">
      <c r="A272" s="237" t="s">
        <v>86</v>
      </c>
      <c r="B272" s="161" t="s">
        <v>291</v>
      </c>
      <c r="C272" s="159" t="s">
        <v>72</v>
      </c>
      <c r="D272" s="158">
        <v>39</v>
      </c>
      <c r="E272" s="158"/>
      <c r="F272" s="185">
        <f t="shared" si="14"/>
        <v>0</v>
      </c>
      <c r="G272" s="280"/>
      <c r="H272" s="280"/>
      <c r="I272" s="187"/>
    </row>
    <row r="273" spans="1:9" ht="12.75">
      <c r="A273" s="237"/>
      <c r="B273" s="161"/>
      <c r="C273" s="159" t="s">
        <v>72</v>
      </c>
      <c r="D273" s="173">
        <f>SUM(D267:D272)</f>
        <v>735</v>
      </c>
      <c r="E273" s="158"/>
      <c r="F273" s="185"/>
      <c r="G273" s="280"/>
      <c r="H273" s="280"/>
      <c r="I273" s="187"/>
    </row>
    <row r="274" spans="1:9" ht="12.75">
      <c r="A274" s="237" t="s">
        <v>86</v>
      </c>
      <c r="B274" s="156" t="s">
        <v>103</v>
      </c>
      <c r="C274" s="159" t="s">
        <v>76</v>
      </c>
      <c r="D274" s="158">
        <f>0.82*1.05</f>
        <v>0.861</v>
      </c>
      <c r="E274" s="158"/>
      <c r="F274" s="185">
        <f t="shared" si="14"/>
        <v>0</v>
      </c>
      <c r="G274" s="280">
        <v>1.5</v>
      </c>
      <c r="H274" s="280">
        <f t="shared" si="15"/>
        <v>1.2915</v>
      </c>
      <c r="I274" s="187"/>
    </row>
    <row r="275" spans="1:9" ht="12.75">
      <c r="A275" s="237" t="s">
        <v>86</v>
      </c>
      <c r="B275" s="156" t="s">
        <v>142</v>
      </c>
      <c r="C275" s="159" t="s">
        <v>76</v>
      </c>
      <c r="D275" s="158">
        <f>0.82*1.05</f>
        <v>0.861</v>
      </c>
      <c r="E275" s="158"/>
      <c r="F275" s="185">
        <f t="shared" si="14"/>
        <v>0</v>
      </c>
      <c r="G275" s="280">
        <v>1</v>
      </c>
      <c r="H275" s="280">
        <f t="shared" si="15"/>
        <v>0.861</v>
      </c>
      <c r="I275" s="187"/>
    </row>
    <row r="276" spans="1:9" ht="12.75">
      <c r="A276" s="237" t="s">
        <v>86</v>
      </c>
      <c r="B276" s="156" t="s">
        <v>143</v>
      </c>
      <c r="C276" s="159" t="s">
        <v>76</v>
      </c>
      <c r="D276" s="158">
        <f>0.92*1.05</f>
        <v>0.9660000000000001</v>
      </c>
      <c r="E276" s="158"/>
      <c r="F276" s="185">
        <f t="shared" si="14"/>
        <v>0</v>
      </c>
      <c r="G276" s="280">
        <v>0.7</v>
      </c>
      <c r="H276" s="280">
        <f t="shared" si="15"/>
        <v>0.6762</v>
      </c>
      <c r="I276" s="187"/>
    </row>
    <row r="277" spans="1:9" ht="12.75">
      <c r="A277" s="237" t="s">
        <v>86</v>
      </c>
      <c r="B277" s="156" t="s">
        <v>357</v>
      </c>
      <c r="C277" s="159" t="s">
        <v>72</v>
      </c>
      <c r="D277" s="158">
        <f>D265</f>
        <v>137</v>
      </c>
      <c r="E277" s="158"/>
      <c r="F277" s="185">
        <f t="shared" si="14"/>
        <v>0</v>
      </c>
      <c r="G277" s="280"/>
      <c r="H277" s="280"/>
      <c r="I277" s="187"/>
    </row>
    <row r="278" spans="1:9" ht="12.75">
      <c r="A278" s="237" t="s">
        <v>79</v>
      </c>
      <c r="B278" s="156" t="s">
        <v>145</v>
      </c>
      <c r="C278" s="159" t="s">
        <v>75</v>
      </c>
      <c r="D278" s="158">
        <f>D251</f>
        <v>18.4</v>
      </c>
      <c r="E278" s="158"/>
      <c r="F278" s="185">
        <f t="shared" si="14"/>
        <v>0</v>
      </c>
      <c r="G278" s="280"/>
      <c r="H278" s="280"/>
      <c r="I278" s="187"/>
    </row>
    <row r="279" spans="1:9" ht="12.75">
      <c r="A279" s="237" t="s">
        <v>85</v>
      </c>
      <c r="B279" s="156" t="s">
        <v>131</v>
      </c>
      <c r="C279" s="159" t="s">
        <v>76</v>
      </c>
      <c r="D279" s="158">
        <f>D275+D274</f>
        <v>1.722</v>
      </c>
      <c r="E279" s="158"/>
      <c r="F279" s="185"/>
      <c r="G279" s="280"/>
      <c r="H279" s="280"/>
      <c r="I279" s="187"/>
    </row>
    <row r="280" spans="1:9" ht="12.75">
      <c r="A280" s="237" t="s">
        <v>87</v>
      </c>
      <c r="B280" s="156" t="s">
        <v>88</v>
      </c>
      <c r="C280" s="159" t="s">
        <v>76</v>
      </c>
      <c r="D280" s="158">
        <f>D279</f>
        <v>1.722</v>
      </c>
      <c r="E280" s="158"/>
      <c r="F280" s="185">
        <f t="shared" si="14"/>
        <v>0</v>
      </c>
      <c r="G280" s="280"/>
      <c r="H280" s="280"/>
      <c r="I280" s="187"/>
    </row>
    <row r="281" spans="1:9" ht="12.75">
      <c r="A281" s="237" t="s">
        <v>89</v>
      </c>
      <c r="B281" s="156" t="s">
        <v>90</v>
      </c>
      <c r="C281" s="159" t="s">
        <v>76</v>
      </c>
      <c r="D281" s="158">
        <f>D279</f>
        <v>1.722</v>
      </c>
      <c r="E281" s="158"/>
      <c r="F281" s="185">
        <f t="shared" si="14"/>
        <v>0</v>
      </c>
      <c r="G281" s="280"/>
      <c r="H281" s="280"/>
      <c r="I281" s="187"/>
    </row>
    <row r="282" spans="1:9" ht="12.75">
      <c r="A282" s="237" t="s">
        <v>139</v>
      </c>
      <c r="B282" s="156" t="s">
        <v>198</v>
      </c>
      <c r="C282" s="159" t="s">
        <v>75</v>
      </c>
      <c r="D282" s="158">
        <f>D251</f>
        <v>18.4</v>
      </c>
      <c r="E282" s="158"/>
      <c r="F282" s="185">
        <f t="shared" si="14"/>
        <v>0</v>
      </c>
      <c r="G282" s="280"/>
      <c r="H282" s="280"/>
      <c r="I282" s="187"/>
    </row>
    <row r="283" spans="1:9" ht="12.75">
      <c r="A283" s="237" t="s">
        <v>91</v>
      </c>
      <c r="B283" s="156" t="s">
        <v>125</v>
      </c>
      <c r="C283" s="159" t="s">
        <v>75</v>
      </c>
      <c r="D283" s="158">
        <f>D251*2</f>
        <v>36.8</v>
      </c>
      <c r="E283" s="158"/>
      <c r="F283" s="185">
        <f t="shared" si="14"/>
        <v>0</v>
      </c>
      <c r="G283" s="280"/>
      <c r="H283" s="280"/>
      <c r="I283" s="187"/>
    </row>
    <row r="284" spans="1:9" ht="12.75">
      <c r="A284" s="237" t="s">
        <v>92</v>
      </c>
      <c r="B284" s="156" t="s">
        <v>294</v>
      </c>
      <c r="C284" s="159" t="s">
        <v>75</v>
      </c>
      <c r="D284" s="158">
        <f>D251*2</f>
        <v>36.8</v>
      </c>
      <c r="E284" s="158"/>
      <c r="F284" s="185">
        <f t="shared" si="14"/>
        <v>0</v>
      </c>
      <c r="G284" s="280"/>
      <c r="H284" s="280"/>
      <c r="I284" s="187"/>
    </row>
    <row r="285" spans="1:9" ht="12.75">
      <c r="A285" s="237" t="s">
        <v>201</v>
      </c>
      <c r="B285" s="156" t="s">
        <v>140</v>
      </c>
      <c r="C285" s="159" t="s">
        <v>72</v>
      </c>
      <c r="D285" s="158">
        <f>D265</f>
        <v>137</v>
      </c>
      <c r="E285" s="158"/>
      <c r="F285" s="185">
        <f t="shared" si="14"/>
        <v>0</v>
      </c>
      <c r="G285" s="280"/>
      <c r="H285" s="280"/>
      <c r="I285" s="187"/>
    </row>
    <row r="286" spans="1:9" ht="20.4">
      <c r="A286" s="237" t="s">
        <v>199</v>
      </c>
      <c r="B286" s="156" t="s">
        <v>200</v>
      </c>
      <c r="C286" s="159" t="s">
        <v>72</v>
      </c>
      <c r="D286" s="158">
        <f>D265</f>
        <v>137</v>
      </c>
      <c r="E286" s="158"/>
      <c r="F286" s="185">
        <f t="shared" si="14"/>
        <v>0</v>
      </c>
      <c r="G286" s="280"/>
      <c r="H286" s="280"/>
      <c r="I286" s="187"/>
    </row>
    <row r="287" spans="1:9" ht="12.75">
      <c r="A287" s="237" t="s">
        <v>201</v>
      </c>
      <c r="B287" s="156" t="s">
        <v>140</v>
      </c>
      <c r="C287" s="159" t="s">
        <v>72</v>
      </c>
      <c r="D287" s="158">
        <f>D273</f>
        <v>735</v>
      </c>
      <c r="E287" s="158"/>
      <c r="F287" s="185">
        <f t="shared" si="14"/>
        <v>0</v>
      </c>
      <c r="G287" s="280"/>
      <c r="H287" s="280"/>
      <c r="I287" s="187"/>
    </row>
    <row r="288" spans="1:9" ht="12.75">
      <c r="A288" s="237" t="s">
        <v>295</v>
      </c>
      <c r="B288" s="156" t="s">
        <v>296</v>
      </c>
      <c r="C288" s="159" t="s">
        <v>72</v>
      </c>
      <c r="D288" s="158">
        <f>D273</f>
        <v>735</v>
      </c>
      <c r="E288" s="158"/>
      <c r="F288" s="185">
        <f t="shared" si="14"/>
        <v>0</v>
      </c>
      <c r="G288" s="280"/>
      <c r="H288" s="280"/>
      <c r="I288" s="187"/>
    </row>
    <row r="289" spans="1:9" ht="12.75">
      <c r="A289" s="237" t="s">
        <v>95</v>
      </c>
      <c r="B289" s="156" t="s">
        <v>124</v>
      </c>
      <c r="C289" s="159" t="s">
        <v>77</v>
      </c>
      <c r="D289" s="158">
        <f>(D277/100000)</f>
        <v>0.00137</v>
      </c>
      <c r="E289" s="158"/>
      <c r="F289" s="185">
        <f t="shared" si="14"/>
        <v>0</v>
      </c>
      <c r="G289" s="280"/>
      <c r="H289" s="280"/>
      <c r="I289" s="187"/>
    </row>
    <row r="290" spans="1:9" ht="12.75">
      <c r="A290" s="237" t="s">
        <v>121</v>
      </c>
      <c r="B290" s="156" t="s">
        <v>147</v>
      </c>
      <c r="C290" s="159" t="s">
        <v>75</v>
      </c>
      <c r="D290" s="158">
        <f>D251</f>
        <v>18.4</v>
      </c>
      <c r="E290" s="158"/>
      <c r="F290" s="185">
        <f t="shared" si="14"/>
        <v>0</v>
      </c>
      <c r="G290" s="280"/>
      <c r="H290" s="280"/>
      <c r="I290" s="187"/>
    </row>
    <row r="291" spans="1:9" ht="12.75">
      <c r="A291" s="237" t="s">
        <v>98</v>
      </c>
      <c r="B291" s="156" t="s">
        <v>474</v>
      </c>
      <c r="C291" s="159" t="s">
        <v>76</v>
      </c>
      <c r="D291" s="158">
        <f>D251*0.02</f>
        <v>0.368</v>
      </c>
      <c r="E291" s="158"/>
      <c r="F291" s="185">
        <f t="shared" si="14"/>
        <v>0</v>
      </c>
      <c r="G291" s="280"/>
      <c r="H291" s="280"/>
      <c r="I291" s="187"/>
    </row>
    <row r="292" spans="1:9" ht="13.8" thickBot="1">
      <c r="A292" s="237" t="s">
        <v>100</v>
      </c>
      <c r="B292" s="156" t="s">
        <v>101</v>
      </c>
      <c r="C292" s="159" t="s">
        <v>77</v>
      </c>
      <c r="D292" s="158">
        <f>H292</f>
        <v>2.8972</v>
      </c>
      <c r="E292" s="158"/>
      <c r="F292" s="185">
        <f>E292*D292</f>
        <v>0</v>
      </c>
      <c r="G292" s="280"/>
      <c r="H292" s="280">
        <f>SUM(H251:H291)</f>
        <v>2.8972</v>
      </c>
      <c r="I292" s="187"/>
    </row>
    <row r="293" spans="1:9" ht="13.8" thickBot="1">
      <c r="A293" s="302"/>
      <c r="B293" s="206" t="s">
        <v>184</v>
      </c>
      <c r="C293" s="207" t="s">
        <v>75</v>
      </c>
      <c r="D293" s="427">
        <v>54.3</v>
      </c>
      <c r="E293" s="194"/>
      <c r="F293" s="195"/>
      <c r="G293" s="294"/>
      <c r="H293" s="294"/>
      <c r="I293" s="329">
        <f>SUM(F294:F349)</f>
        <v>0</v>
      </c>
    </row>
    <row r="294" spans="1:9" ht="12.75">
      <c r="A294" s="241"/>
      <c r="B294" s="204" t="s">
        <v>159</v>
      </c>
      <c r="C294" s="205" t="s">
        <v>75</v>
      </c>
      <c r="D294" s="428">
        <v>54.3</v>
      </c>
      <c r="E294" s="189"/>
      <c r="F294" s="190"/>
      <c r="G294" s="293"/>
      <c r="H294" s="293"/>
      <c r="I294" s="187"/>
    </row>
    <row r="295" spans="1:9" ht="12.75">
      <c r="A295" s="237" t="s">
        <v>86</v>
      </c>
      <c r="B295" s="161" t="s">
        <v>219</v>
      </c>
      <c r="C295" s="159" t="s">
        <v>72</v>
      </c>
      <c r="D295" s="429">
        <v>20</v>
      </c>
      <c r="E295" s="158"/>
      <c r="F295" s="185">
        <f t="shared" si="14"/>
        <v>0</v>
      </c>
      <c r="G295" s="280">
        <v>0.0005</v>
      </c>
      <c r="H295" s="280">
        <f aca="true" t="shared" si="16" ref="H295:H317">G295*D295</f>
        <v>0.01</v>
      </c>
      <c r="I295" s="187"/>
    </row>
    <row r="296" spans="1:9" ht="12.75">
      <c r="A296" s="237" t="s">
        <v>86</v>
      </c>
      <c r="B296" s="161" t="s">
        <v>234</v>
      </c>
      <c r="C296" s="159" t="s">
        <v>72</v>
      </c>
      <c r="D296" s="429">
        <v>21</v>
      </c>
      <c r="E296" s="158"/>
      <c r="F296" s="185">
        <f t="shared" si="14"/>
        <v>0</v>
      </c>
      <c r="G296" s="280">
        <v>0.0005</v>
      </c>
      <c r="H296" s="280">
        <f t="shared" si="16"/>
        <v>0.0105</v>
      </c>
      <c r="I296" s="187"/>
    </row>
    <row r="297" spans="1:9" ht="12.75">
      <c r="A297" s="237" t="s">
        <v>86</v>
      </c>
      <c r="B297" s="161" t="s">
        <v>205</v>
      </c>
      <c r="C297" s="159" t="s">
        <v>72</v>
      </c>
      <c r="D297" s="429">
        <v>7</v>
      </c>
      <c r="E297" s="158"/>
      <c r="F297" s="185">
        <f t="shared" si="14"/>
        <v>0</v>
      </c>
      <c r="G297" s="280">
        <v>0.0005</v>
      </c>
      <c r="H297" s="280">
        <f t="shared" si="16"/>
        <v>0.0035</v>
      </c>
      <c r="I297" s="187"/>
    </row>
    <row r="298" spans="1:9" ht="12.75">
      <c r="A298" s="237" t="s">
        <v>86</v>
      </c>
      <c r="B298" s="171" t="s">
        <v>244</v>
      </c>
      <c r="C298" s="159" t="s">
        <v>72</v>
      </c>
      <c r="D298" s="429">
        <v>24</v>
      </c>
      <c r="E298" s="158"/>
      <c r="F298" s="185">
        <f t="shared" si="14"/>
        <v>0</v>
      </c>
      <c r="G298" s="280">
        <v>0.0005</v>
      </c>
      <c r="H298" s="280">
        <f t="shared" si="16"/>
        <v>0.012</v>
      </c>
      <c r="I298" s="187"/>
    </row>
    <row r="299" spans="1:9" ht="12.75">
      <c r="A299" s="237" t="s">
        <v>86</v>
      </c>
      <c r="B299" s="171" t="s">
        <v>248</v>
      </c>
      <c r="C299" s="159" t="s">
        <v>72</v>
      </c>
      <c r="D299" s="429">
        <v>13</v>
      </c>
      <c r="E299" s="158"/>
      <c r="F299" s="185">
        <f t="shared" si="14"/>
        <v>0</v>
      </c>
      <c r="G299" s="280">
        <v>0.0005</v>
      </c>
      <c r="H299" s="280">
        <f t="shared" si="16"/>
        <v>0.006500000000000001</v>
      </c>
      <c r="I299" s="187"/>
    </row>
    <row r="300" spans="1:9" ht="12.75">
      <c r="A300" s="237" t="s">
        <v>86</v>
      </c>
      <c r="B300" s="171" t="s">
        <v>249</v>
      </c>
      <c r="C300" s="159" t="s">
        <v>72</v>
      </c>
      <c r="D300" s="429">
        <v>13</v>
      </c>
      <c r="E300" s="158"/>
      <c r="F300" s="185">
        <f t="shared" si="14"/>
        <v>0</v>
      </c>
      <c r="G300" s="280">
        <v>0.0005</v>
      </c>
      <c r="H300" s="280">
        <f t="shared" si="16"/>
        <v>0.006500000000000001</v>
      </c>
      <c r="I300" s="187"/>
    </row>
    <row r="301" spans="1:9" ht="12.75">
      <c r="A301" s="237" t="s">
        <v>86</v>
      </c>
      <c r="B301" s="171" t="s">
        <v>211</v>
      </c>
      <c r="C301" s="159" t="s">
        <v>72</v>
      </c>
      <c r="D301" s="429">
        <v>29</v>
      </c>
      <c r="E301" s="158"/>
      <c r="F301" s="185">
        <f t="shared" si="14"/>
        <v>0</v>
      </c>
      <c r="G301" s="280">
        <v>0.0005</v>
      </c>
      <c r="H301" s="280">
        <f t="shared" si="16"/>
        <v>0.0145</v>
      </c>
      <c r="I301" s="187"/>
    </row>
    <row r="302" spans="1:9" ht="12.75">
      <c r="A302" s="237" t="s">
        <v>86</v>
      </c>
      <c r="B302" s="171" t="s">
        <v>250</v>
      </c>
      <c r="C302" s="159" t="s">
        <v>72</v>
      </c>
      <c r="D302" s="429">
        <v>15</v>
      </c>
      <c r="E302" s="158"/>
      <c r="F302" s="185">
        <f t="shared" si="14"/>
        <v>0</v>
      </c>
      <c r="G302" s="280">
        <v>0.0005</v>
      </c>
      <c r="H302" s="280">
        <f t="shared" si="16"/>
        <v>0.0075</v>
      </c>
      <c r="I302" s="187"/>
    </row>
    <row r="303" spans="1:9" ht="12.75">
      <c r="A303" s="237" t="s">
        <v>86</v>
      </c>
      <c r="B303" s="171" t="s">
        <v>257</v>
      </c>
      <c r="C303" s="159" t="s">
        <v>133</v>
      </c>
      <c r="D303" s="429">
        <v>5</v>
      </c>
      <c r="E303" s="158"/>
      <c r="F303" s="185">
        <f t="shared" si="14"/>
        <v>0</v>
      </c>
      <c r="G303" s="280">
        <v>0.0005</v>
      </c>
      <c r="H303" s="280">
        <f t="shared" si="16"/>
        <v>0.0025</v>
      </c>
      <c r="I303" s="187"/>
    </row>
    <row r="304" spans="1:9" ht="12.75">
      <c r="A304" s="237" t="s">
        <v>86</v>
      </c>
      <c r="B304" s="171" t="s">
        <v>253</v>
      </c>
      <c r="C304" s="159" t="s">
        <v>72</v>
      </c>
      <c r="D304" s="429">
        <v>10</v>
      </c>
      <c r="E304" s="158"/>
      <c r="F304" s="185">
        <f t="shared" si="14"/>
        <v>0</v>
      </c>
      <c r="G304" s="280">
        <v>0.0005</v>
      </c>
      <c r="H304" s="280">
        <f t="shared" si="16"/>
        <v>0.005</v>
      </c>
      <c r="I304" s="187"/>
    </row>
    <row r="305" spans="1:9" ht="12.75">
      <c r="A305" s="237" t="s">
        <v>86</v>
      </c>
      <c r="B305" s="171" t="s">
        <v>254</v>
      </c>
      <c r="C305" s="159" t="s">
        <v>72</v>
      </c>
      <c r="D305" s="429">
        <v>11</v>
      </c>
      <c r="E305" s="158"/>
      <c r="F305" s="185">
        <f t="shared" si="14"/>
        <v>0</v>
      </c>
      <c r="G305" s="280">
        <v>0.0005</v>
      </c>
      <c r="H305" s="280">
        <f t="shared" si="16"/>
        <v>0.0055</v>
      </c>
      <c r="I305" s="187"/>
    </row>
    <row r="306" spans="1:9" ht="12.75">
      <c r="A306" s="237" t="s">
        <v>86</v>
      </c>
      <c r="B306" s="171" t="s">
        <v>256</v>
      </c>
      <c r="C306" s="159" t="s">
        <v>72</v>
      </c>
      <c r="D306" s="429">
        <v>11</v>
      </c>
      <c r="E306" s="158"/>
      <c r="F306" s="185">
        <f t="shared" si="14"/>
        <v>0</v>
      </c>
      <c r="G306" s="280">
        <v>0.0005</v>
      </c>
      <c r="H306" s="280">
        <f t="shared" si="16"/>
        <v>0.0055</v>
      </c>
      <c r="I306" s="187"/>
    </row>
    <row r="307" spans="1:9" ht="12.75">
      <c r="A307" s="237" t="s">
        <v>86</v>
      </c>
      <c r="B307" s="171" t="s">
        <v>260</v>
      </c>
      <c r="C307" s="159" t="s">
        <v>72</v>
      </c>
      <c r="D307" s="429">
        <v>25</v>
      </c>
      <c r="E307" s="158"/>
      <c r="F307" s="185">
        <f t="shared" si="14"/>
        <v>0</v>
      </c>
      <c r="G307" s="280">
        <v>0.0005</v>
      </c>
      <c r="H307" s="280">
        <f t="shared" si="16"/>
        <v>0.0125</v>
      </c>
      <c r="I307" s="187"/>
    </row>
    <row r="308" spans="1:9" ht="12.75">
      <c r="A308" s="237" t="s">
        <v>86</v>
      </c>
      <c r="B308" s="171" t="s">
        <v>262</v>
      </c>
      <c r="C308" s="159" t="s">
        <v>72</v>
      </c>
      <c r="D308" s="429">
        <v>30</v>
      </c>
      <c r="E308" s="158"/>
      <c r="F308" s="185">
        <f t="shared" si="14"/>
        <v>0</v>
      </c>
      <c r="G308" s="280">
        <v>0.0005</v>
      </c>
      <c r="H308" s="280">
        <f t="shared" si="16"/>
        <v>0.015</v>
      </c>
      <c r="I308" s="187"/>
    </row>
    <row r="309" spans="1:9" ht="12.75">
      <c r="A309" s="237" t="s">
        <v>86</v>
      </c>
      <c r="B309" s="171" t="s">
        <v>265</v>
      </c>
      <c r="C309" s="159" t="s">
        <v>72</v>
      </c>
      <c r="D309" s="429">
        <v>14</v>
      </c>
      <c r="E309" s="158"/>
      <c r="F309" s="185">
        <f t="shared" si="14"/>
        <v>0</v>
      </c>
      <c r="G309" s="280">
        <v>0.0005</v>
      </c>
      <c r="H309" s="280">
        <f t="shared" si="16"/>
        <v>0.007</v>
      </c>
      <c r="I309" s="187"/>
    </row>
    <row r="310" spans="1:9" ht="12.75">
      <c r="A310" s="237" t="s">
        <v>86</v>
      </c>
      <c r="B310" s="171" t="s">
        <v>266</v>
      </c>
      <c r="C310" s="159" t="s">
        <v>72</v>
      </c>
      <c r="D310" s="429">
        <v>32</v>
      </c>
      <c r="E310" s="158"/>
      <c r="F310" s="185">
        <f t="shared" si="14"/>
        <v>0</v>
      </c>
      <c r="G310" s="280">
        <v>0.0005</v>
      </c>
      <c r="H310" s="280">
        <f t="shared" si="16"/>
        <v>0.016</v>
      </c>
      <c r="I310" s="187"/>
    </row>
    <row r="311" spans="1:9" ht="12.75">
      <c r="A311" s="237" t="s">
        <v>86</v>
      </c>
      <c r="B311" s="171" t="s">
        <v>268</v>
      </c>
      <c r="C311" s="159" t="s">
        <v>72</v>
      </c>
      <c r="D311" s="429">
        <v>25</v>
      </c>
      <c r="E311" s="158"/>
      <c r="F311" s="185">
        <f t="shared" si="14"/>
        <v>0</v>
      </c>
      <c r="G311" s="280">
        <v>0.0005</v>
      </c>
      <c r="H311" s="280">
        <f t="shared" si="16"/>
        <v>0.0125</v>
      </c>
      <c r="I311" s="187"/>
    </row>
    <row r="312" spans="1:9" ht="12.75">
      <c r="A312" s="237" t="s">
        <v>86</v>
      </c>
      <c r="B312" s="171" t="s">
        <v>269</v>
      </c>
      <c r="C312" s="159" t="s">
        <v>72</v>
      </c>
      <c r="D312" s="429">
        <v>8</v>
      </c>
      <c r="E312" s="158"/>
      <c r="F312" s="185">
        <f t="shared" si="14"/>
        <v>0</v>
      </c>
      <c r="G312" s="280">
        <v>0.0005</v>
      </c>
      <c r="H312" s="280">
        <f t="shared" si="16"/>
        <v>0.004</v>
      </c>
      <c r="I312" s="187"/>
    </row>
    <row r="313" spans="1:9" ht="12.75">
      <c r="A313" s="237" t="s">
        <v>86</v>
      </c>
      <c r="B313" s="171" t="s">
        <v>270</v>
      </c>
      <c r="C313" s="159" t="s">
        <v>72</v>
      </c>
      <c r="D313" s="429">
        <v>3</v>
      </c>
      <c r="E313" s="158"/>
      <c r="F313" s="185">
        <f aca="true" t="shared" si="17" ref="F313:F348">E313*D313</f>
        <v>0</v>
      </c>
      <c r="G313" s="280">
        <v>0.0005</v>
      </c>
      <c r="H313" s="280">
        <f t="shared" si="16"/>
        <v>0.0015</v>
      </c>
      <c r="I313" s="187"/>
    </row>
    <row r="314" spans="1:9" ht="12.75">
      <c r="A314" s="237" t="s">
        <v>86</v>
      </c>
      <c r="B314" s="160" t="s">
        <v>468</v>
      </c>
      <c r="C314" s="159" t="s">
        <v>72</v>
      </c>
      <c r="D314" s="429">
        <v>8</v>
      </c>
      <c r="E314" s="158"/>
      <c r="F314" s="185">
        <f t="shared" si="17"/>
        <v>0</v>
      </c>
      <c r="G314" s="280">
        <v>0.0005</v>
      </c>
      <c r="H314" s="280">
        <f t="shared" si="16"/>
        <v>0.004</v>
      </c>
      <c r="I314" s="187"/>
    </row>
    <row r="315" spans="1:9" ht="12.75">
      <c r="A315" s="237" t="s">
        <v>86</v>
      </c>
      <c r="B315" s="160" t="s">
        <v>424</v>
      </c>
      <c r="C315" s="159" t="s">
        <v>72</v>
      </c>
      <c r="D315" s="429">
        <v>32</v>
      </c>
      <c r="E315" s="158"/>
      <c r="F315" s="185">
        <f t="shared" si="17"/>
        <v>0</v>
      </c>
      <c r="G315" s="280">
        <v>0.0005</v>
      </c>
      <c r="H315" s="280">
        <f t="shared" si="16"/>
        <v>0.016</v>
      </c>
      <c r="I315" s="187"/>
    </row>
    <row r="316" spans="1:9" ht="12.75">
      <c r="A316" s="237" t="s">
        <v>86</v>
      </c>
      <c r="B316" s="160" t="s">
        <v>470</v>
      </c>
      <c r="C316" s="159" t="s">
        <v>72</v>
      </c>
      <c r="D316" s="429">
        <v>12</v>
      </c>
      <c r="E316" s="158"/>
      <c r="F316" s="185">
        <f t="shared" si="17"/>
        <v>0</v>
      </c>
      <c r="G316" s="280">
        <v>0.0005</v>
      </c>
      <c r="H316" s="280">
        <f t="shared" si="16"/>
        <v>0.006</v>
      </c>
      <c r="I316" s="187"/>
    </row>
    <row r="317" spans="1:9" ht="12.75">
      <c r="A317" s="237" t="s">
        <v>86</v>
      </c>
      <c r="B317" s="160" t="s">
        <v>469</v>
      </c>
      <c r="C317" s="159" t="s">
        <v>72</v>
      </c>
      <c r="D317" s="429">
        <v>27</v>
      </c>
      <c r="E317" s="158"/>
      <c r="F317" s="185">
        <f t="shared" si="17"/>
        <v>0</v>
      </c>
      <c r="G317" s="280">
        <v>0.0005</v>
      </c>
      <c r="H317" s="280">
        <f t="shared" si="16"/>
        <v>0.0135</v>
      </c>
      <c r="I317" s="187"/>
    </row>
    <row r="318" spans="1:9" ht="12.75">
      <c r="A318" s="237"/>
      <c r="B318" s="157"/>
      <c r="C318" s="159" t="s">
        <v>72</v>
      </c>
      <c r="D318" s="430">
        <f>SUM(D295:D317)</f>
        <v>395</v>
      </c>
      <c r="E318" s="429"/>
      <c r="F318" s="429"/>
      <c r="G318" s="280"/>
      <c r="H318" s="280"/>
      <c r="I318" s="187"/>
    </row>
    <row r="319" spans="1:9" ht="12.75">
      <c r="A319" s="237" t="s">
        <v>86</v>
      </c>
      <c r="B319" s="157" t="s">
        <v>318</v>
      </c>
      <c r="C319" s="159"/>
      <c r="D319" s="429"/>
      <c r="E319" s="158"/>
      <c r="F319" s="185"/>
      <c r="G319" s="280"/>
      <c r="H319" s="280"/>
      <c r="I319" s="187"/>
    </row>
    <row r="320" spans="1:9" ht="12.75">
      <c r="A320" s="237" t="s">
        <v>86</v>
      </c>
      <c r="B320" s="161" t="s">
        <v>279</v>
      </c>
      <c r="C320" s="159" t="s">
        <v>72</v>
      </c>
      <c r="D320" s="429">
        <v>1600</v>
      </c>
      <c r="E320" s="158"/>
      <c r="F320" s="185">
        <f t="shared" si="17"/>
        <v>0</v>
      </c>
      <c r="G320" s="280"/>
      <c r="H320" s="280"/>
      <c r="I320" s="187"/>
    </row>
    <row r="321" spans="1:9" ht="12.75">
      <c r="A321" s="237" t="s">
        <v>86</v>
      </c>
      <c r="B321" s="161" t="s">
        <v>285</v>
      </c>
      <c r="C321" s="159" t="s">
        <v>72</v>
      </c>
      <c r="D321" s="429">
        <v>141</v>
      </c>
      <c r="E321" s="158"/>
      <c r="F321" s="185">
        <f t="shared" si="17"/>
        <v>0</v>
      </c>
      <c r="G321" s="280"/>
      <c r="H321" s="280"/>
      <c r="I321" s="187"/>
    </row>
    <row r="322" spans="1:9" ht="12.75">
      <c r="A322" s="237" t="s">
        <v>86</v>
      </c>
      <c r="B322" s="161" t="s">
        <v>287</v>
      </c>
      <c r="C322" s="159" t="s">
        <v>72</v>
      </c>
      <c r="D322" s="429">
        <v>141</v>
      </c>
      <c r="E322" s="158"/>
      <c r="F322" s="185">
        <f t="shared" si="17"/>
        <v>0</v>
      </c>
      <c r="G322" s="280"/>
      <c r="H322" s="280"/>
      <c r="I322" s="187"/>
    </row>
    <row r="323" spans="1:9" ht="12.75">
      <c r="A323" s="237" t="s">
        <v>86</v>
      </c>
      <c r="B323" s="161" t="s">
        <v>289</v>
      </c>
      <c r="C323" s="159" t="s">
        <v>72</v>
      </c>
      <c r="D323" s="429">
        <v>141</v>
      </c>
      <c r="E323" s="158"/>
      <c r="F323" s="185">
        <f t="shared" si="17"/>
        <v>0</v>
      </c>
      <c r="G323" s="280"/>
      <c r="H323" s="280"/>
      <c r="I323" s="187"/>
    </row>
    <row r="324" spans="1:9" ht="12.75">
      <c r="A324" s="237" t="s">
        <v>86</v>
      </c>
      <c r="B324" s="161" t="s">
        <v>290</v>
      </c>
      <c r="C324" s="159" t="s">
        <v>72</v>
      </c>
      <c r="D324" s="429">
        <v>141</v>
      </c>
      <c r="E324" s="158"/>
      <c r="F324" s="185">
        <f t="shared" si="17"/>
        <v>0</v>
      </c>
      <c r="G324" s="280"/>
      <c r="H324" s="280"/>
      <c r="I324" s="187"/>
    </row>
    <row r="325" spans="1:9" ht="12.75">
      <c r="A325" s="237" t="s">
        <v>86</v>
      </c>
      <c r="B325" s="161" t="s">
        <v>291</v>
      </c>
      <c r="C325" s="159" t="s">
        <v>72</v>
      </c>
      <c r="D325" s="429">
        <v>141</v>
      </c>
      <c r="E325" s="158"/>
      <c r="F325" s="185">
        <f t="shared" si="17"/>
        <v>0</v>
      </c>
      <c r="G325" s="280"/>
      <c r="H325" s="280"/>
      <c r="I325" s="187"/>
    </row>
    <row r="326" spans="1:9" ht="12.75">
      <c r="A326" s="237"/>
      <c r="B326" s="157"/>
      <c r="C326" s="159" t="s">
        <v>72</v>
      </c>
      <c r="D326" s="430">
        <f>SUM(D320:D325)</f>
        <v>2305</v>
      </c>
      <c r="E326" s="158"/>
      <c r="F326" s="185">
        <f t="shared" si="17"/>
        <v>0</v>
      </c>
      <c r="G326" s="280"/>
      <c r="H326" s="280"/>
      <c r="I326" s="187"/>
    </row>
    <row r="327" spans="1:9" ht="12.75">
      <c r="A327" s="237"/>
      <c r="B327" s="157" t="s">
        <v>160</v>
      </c>
      <c r="C327" s="159"/>
      <c r="D327" s="429"/>
      <c r="E327" s="158"/>
      <c r="F327" s="185"/>
      <c r="G327" s="280"/>
      <c r="H327" s="280"/>
      <c r="I327" s="187"/>
    </row>
    <row r="328" spans="1:9" ht="12.75">
      <c r="A328" s="237" t="s">
        <v>86</v>
      </c>
      <c r="B328" s="156" t="s">
        <v>297</v>
      </c>
      <c r="C328" s="159" t="s">
        <v>72</v>
      </c>
      <c r="D328" s="430">
        <v>3</v>
      </c>
      <c r="E328" s="158"/>
      <c r="F328" s="185">
        <f t="shared" si="17"/>
        <v>0</v>
      </c>
      <c r="G328" s="280">
        <v>0.003</v>
      </c>
      <c r="H328" s="280">
        <f aca="true" t="shared" si="18" ref="H328:H331">G328*D328</f>
        <v>0.009000000000000001</v>
      </c>
      <c r="I328" s="187"/>
    </row>
    <row r="329" spans="1:9" ht="12.75">
      <c r="A329" s="237" t="s">
        <v>86</v>
      </c>
      <c r="B329" s="156" t="s">
        <v>103</v>
      </c>
      <c r="C329" s="159" t="s">
        <v>76</v>
      </c>
      <c r="D329" s="158">
        <f>2.4*1.05</f>
        <v>2.52</v>
      </c>
      <c r="E329" s="158"/>
      <c r="F329" s="185">
        <f t="shared" si="17"/>
        <v>0</v>
      </c>
      <c r="G329" s="280">
        <v>1.5</v>
      </c>
      <c r="H329" s="280">
        <f t="shared" si="18"/>
        <v>3.7800000000000002</v>
      </c>
      <c r="I329" s="187"/>
    </row>
    <row r="330" spans="1:9" ht="12.75">
      <c r="A330" s="237" t="s">
        <v>86</v>
      </c>
      <c r="B330" s="156" t="s">
        <v>142</v>
      </c>
      <c r="C330" s="159" t="s">
        <v>76</v>
      </c>
      <c r="D330" s="158">
        <f>2.4*1.05</f>
        <v>2.52</v>
      </c>
      <c r="E330" s="158"/>
      <c r="F330" s="185">
        <f t="shared" si="17"/>
        <v>0</v>
      </c>
      <c r="G330" s="280">
        <v>1</v>
      </c>
      <c r="H330" s="280">
        <f t="shared" si="18"/>
        <v>2.52</v>
      </c>
      <c r="I330" s="187"/>
    </row>
    <row r="331" spans="1:9" ht="12.75">
      <c r="A331" s="237" t="s">
        <v>86</v>
      </c>
      <c r="B331" s="156" t="s">
        <v>143</v>
      </c>
      <c r="C331" s="159" t="s">
        <v>76</v>
      </c>
      <c r="D331" s="158">
        <f>2.7*1.05</f>
        <v>2.8350000000000004</v>
      </c>
      <c r="E331" s="158"/>
      <c r="F331" s="185">
        <f t="shared" si="17"/>
        <v>0</v>
      </c>
      <c r="G331" s="280">
        <v>0.7</v>
      </c>
      <c r="H331" s="280">
        <f t="shared" si="18"/>
        <v>1.9845000000000002</v>
      </c>
      <c r="I331" s="187"/>
    </row>
    <row r="332" spans="1:9" ht="12.75">
      <c r="A332" s="237" t="s">
        <v>86</v>
      </c>
      <c r="B332" s="156" t="s">
        <v>357</v>
      </c>
      <c r="C332" s="159" t="s">
        <v>72</v>
      </c>
      <c r="D332" s="158">
        <f>D318</f>
        <v>395</v>
      </c>
      <c r="E332" s="158"/>
      <c r="F332" s="185">
        <f t="shared" si="17"/>
        <v>0</v>
      </c>
      <c r="G332" s="280"/>
      <c r="H332" s="280"/>
      <c r="I332" s="187"/>
    </row>
    <row r="333" spans="1:9" ht="12.75">
      <c r="A333" s="237" t="s">
        <v>79</v>
      </c>
      <c r="B333" s="156" t="s">
        <v>145</v>
      </c>
      <c r="C333" s="159" t="s">
        <v>75</v>
      </c>
      <c r="D333" s="158">
        <f>D294</f>
        <v>54.3</v>
      </c>
      <c r="E333" s="158"/>
      <c r="F333" s="185">
        <f t="shared" si="17"/>
        <v>0</v>
      </c>
      <c r="G333" s="280"/>
      <c r="H333" s="280"/>
      <c r="I333" s="187"/>
    </row>
    <row r="334" spans="1:9" ht="12.75">
      <c r="A334" s="237" t="s">
        <v>85</v>
      </c>
      <c r="B334" s="156" t="s">
        <v>131</v>
      </c>
      <c r="C334" s="159" t="s">
        <v>76</v>
      </c>
      <c r="D334" s="158">
        <f>D330+D329</f>
        <v>5.04</v>
      </c>
      <c r="E334" s="158"/>
      <c r="F334" s="185">
        <f t="shared" si="17"/>
        <v>0</v>
      </c>
      <c r="G334" s="280"/>
      <c r="H334" s="280"/>
      <c r="I334" s="187"/>
    </row>
    <row r="335" spans="1:9" ht="12.75">
      <c r="A335" s="237" t="s">
        <v>87</v>
      </c>
      <c r="B335" s="156" t="s">
        <v>88</v>
      </c>
      <c r="C335" s="159" t="s">
        <v>76</v>
      </c>
      <c r="D335" s="158">
        <f>D334</f>
        <v>5.04</v>
      </c>
      <c r="E335" s="158"/>
      <c r="F335" s="185">
        <f t="shared" si="17"/>
        <v>0</v>
      </c>
      <c r="G335" s="280"/>
      <c r="H335" s="280"/>
      <c r="I335" s="187"/>
    </row>
    <row r="336" spans="1:9" ht="12.75">
      <c r="A336" s="237" t="s">
        <v>89</v>
      </c>
      <c r="B336" s="156" t="s">
        <v>90</v>
      </c>
      <c r="C336" s="159" t="s">
        <v>76</v>
      </c>
      <c r="D336" s="158">
        <f>D334</f>
        <v>5.04</v>
      </c>
      <c r="E336" s="158"/>
      <c r="F336" s="185">
        <f t="shared" si="17"/>
        <v>0</v>
      </c>
      <c r="G336" s="280"/>
      <c r="H336" s="280"/>
      <c r="I336" s="187"/>
    </row>
    <row r="337" spans="1:9" ht="12.75">
      <c r="A337" s="237" t="s">
        <v>139</v>
      </c>
      <c r="B337" s="156" t="s">
        <v>198</v>
      </c>
      <c r="C337" s="159" t="s">
        <v>75</v>
      </c>
      <c r="D337" s="158">
        <f>D333</f>
        <v>54.3</v>
      </c>
      <c r="E337" s="158"/>
      <c r="F337" s="185">
        <f t="shared" si="17"/>
        <v>0</v>
      </c>
      <c r="G337" s="280"/>
      <c r="H337" s="280"/>
      <c r="I337" s="187"/>
    </row>
    <row r="338" spans="1:9" ht="12.75">
      <c r="A338" s="237" t="s">
        <v>91</v>
      </c>
      <c r="B338" s="156" t="s">
        <v>125</v>
      </c>
      <c r="C338" s="159" t="s">
        <v>75</v>
      </c>
      <c r="D338" s="158">
        <f>D333*2</f>
        <v>108.6</v>
      </c>
      <c r="E338" s="158"/>
      <c r="F338" s="185">
        <f t="shared" si="17"/>
        <v>0</v>
      </c>
      <c r="G338" s="280"/>
      <c r="H338" s="280"/>
      <c r="I338" s="187"/>
    </row>
    <row r="339" spans="1:9" ht="12.75">
      <c r="A339" s="237" t="s">
        <v>92</v>
      </c>
      <c r="B339" s="156" t="s">
        <v>294</v>
      </c>
      <c r="C339" s="159" t="s">
        <v>75</v>
      </c>
      <c r="D339" s="158">
        <f>D333*2</f>
        <v>108.6</v>
      </c>
      <c r="E339" s="158"/>
      <c r="F339" s="185">
        <f t="shared" si="17"/>
        <v>0</v>
      </c>
      <c r="G339" s="280"/>
      <c r="H339" s="280"/>
      <c r="I339" s="187"/>
    </row>
    <row r="340" spans="1:9" ht="12.75">
      <c r="A340" s="237" t="s">
        <v>201</v>
      </c>
      <c r="B340" s="156" t="s">
        <v>140</v>
      </c>
      <c r="C340" s="159" t="s">
        <v>72</v>
      </c>
      <c r="D340" s="158">
        <f>D318</f>
        <v>395</v>
      </c>
      <c r="E340" s="158"/>
      <c r="F340" s="185">
        <f t="shared" si="17"/>
        <v>0</v>
      </c>
      <c r="G340" s="280"/>
      <c r="H340" s="280"/>
      <c r="I340" s="187"/>
    </row>
    <row r="341" spans="1:9" ht="20.4">
      <c r="A341" s="237" t="s">
        <v>199</v>
      </c>
      <c r="B341" s="156" t="s">
        <v>200</v>
      </c>
      <c r="C341" s="159" t="s">
        <v>72</v>
      </c>
      <c r="D341" s="158">
        <f>D318</f>
        <v>395</v>
      </c>
      <c r="E341" s="158"/>
      <c r="F341" s="185">
        <f t="shared" si="17"/>
        <v>0</v>
      </c>
      <c r="G341" s="280"/>
      <c r="H341" s="280"/>
      <c r="I341" s="187"/>
    </row>
    <row r="342" spans="1:9" ht="12.75">
      <c r="A342" s="237" t="s">
        <v>201</v>
      </c>
      <c r="B342" s="156" t="s">
        <v>140</v>
      </c>
      <c r="C342" s="159" t="s">
        <v>72</v>
      </c>
      <c r="D342" s="158">
        <f>D326</f>
        <v>2305</v>
      </c>
      <c r="E342" s="158"/>
      <c r="F342" s="185">
        <f t="shared" si="17"/>
        <v>0</v>
      </c>
      <c r="G342" s="280"/>
      <c r="H342" s="280"/>
      <c r="I342" s="187"/>
    </row>
    <row r="343" spans="1:9" ht="12.75">
      <c r="A343" s="237" t="s">
        <v>295</v>
      </c>
      <c r="B343" s="156" t="s">
        <v>296</v>
      </c>
      <c r="C343" s="159" t="s">
        <v>72</v>
      </c>
      <c r="D343" s="158">
        <f>D342</f>
        <v>2305</v>
      </c>
      <c r="E343" s="158"/>
      <c r="F343" s="185">
        <f t="shared" si="17"/>
        <v>0</v>
      </c>
      <c r="G343" s="280"/>
      <c r="H343" s="280"/>
      <c r="I343" s="187"/>
    </row>
    <row r="344" spans="1:9" ht="12.75">
      <c r="A344" s="237" t="s">
        <v>93</v>
      </c>
      <c r="B344" s="156" t="s">
        <v>94</v>
      </c>
      <c r="C344" s="159" t="s">
        <v>72</v>
      </c>
      <c r="D344" s="158">
        <f>D328</f>
        <v>3</v>
      </c>
      <c r="E344" s="158"/>
      <c r="F344" s="185">
        <f t="shared" si="17"/>
        <v>0</v>
      </c>
      <c r="G344" s="280"/>
      <c r="H344" s="280"/>
      <c r="I344" s="187"/>
    </row>
    <row r="345" spans="1:9" ht="20.4">
      <c r="A345" s="237" t="s">
        <v>120</v>
      </c>
      <c r="B345" s="156" t="s">
        <v>122</v>
      </c>
      <c r="C345" s="159" t="s">
        <v>72</v>
      </c>
      <c r="D345" s="158">
        <f>D344</f>
        <v>3</v>
      </c>
      <c r="E345" s="158"/>
      <c r="F345" s="185">
        <f t="shared" si="17"/>
        <v>0</v>
      </c>
      <c r="G345" s="280"/>
      <c r="H345" s="280"/>
      <c r="I345" s="187"/>
    </row>
    <row r="346" spans="1:9" ht="12.75">
      <c r="A346" s="237" t="s">
        <v>95</v>
      </c>
      <c r="B346" s="156" t="s">
        <v>124</v>
      </c>
      <c r="C346" s="159" t="s">
        <v>77</v>
      </c>
      <c r="D346" s="158">
        <f>(D332/100000)</f>
        <v>0.00395</v>
      </c>
      <c r="E346" s="158"/>
      <c r="F346" s="185">
        <f t="shared" si="17"/>
        <v>0</v>
      </c>
      <c r="G346" s="280"/>
      <c r="H346" s="280"/>
      <c r="I346" s="187"/>
    </row>
    <row r="347" spans="1:9" ht="12.75">
      <c r="A347" s="237" t="s">
        <v>121</v>
      </c>
      <c r="B347" s="156" t="s">
        <v>147</v>
      </c>
      <c r="C347" s="159" t="s">
        <v>75</v>
      </c>
      <c r="D347" s="158">
        <f>D337</f>
        <v>54.3</v>
      </c>
      <c r="E347" s="158"/>
      <c r="F347" s="185">
        <f t="shared" si="17"/>
        <v>0</v>
      </c>
      <c r="G347" s="280"/>
      <c r="H347" s="280"/>
      <c r="I347" s="187"/>
    </row>
    <row r="348" spans="1:9" ht="12.75">
      <c r="A348" s="237" t="s">
        <v>98</v>
      </c>
      <c r="B348" s="156" t="s">
        <v>99</v>
      </c>
      <c r="C348" s="159" t="s">
        <v>76</v>
      </c>
      <c r="D348" s="158">
        <f>D294*0.02</f>
        <v>1.086</v>
      </c>
      <c r="E348" s="158"/>
      <c r="F348" s="185">
        <f t="shared" si="17"/>
        <v>0</v>
      </c>
      <c r="G348" s="280"/>
      <c r="H348" s="280"/>
      <c r="I348" s="187"/>
    </row>
    <row r="349" spans="1:9" ht="13.8" thickBot="1">
      <c r="A349" s="237" t="s">
        <v>100</v>
      </c>
      <c r="B349" s="156" t="s">
        <v>101</v>
      </c>
      <c r="C349" s="159" t="s">
        <v>77</v>
      </c>
      <c r="D349" s="158">
        <f>H349</f>
        <v>8.491000000000001</v>
      </c>
      <c r="E349" s="158"/>
      <c r="F349" s="185">
        <f>E349*D349</f>
        <v>0</v>
      </c>
      <c r="G349" s="280"/>
      <c r="H349" s="280">
        <f>SUM(H293:H348)</f>
        <v>8.491000000000001</v>
      </c>
      <c r="I349" s="187"/>
    </row>
    <row r="350" spans="1:9" ht="13.8" thickBot="1">
      <c r="A350" s="302"/>
      <c r="B350" s="206" t="s">
        <v>298</v>
      </c>
      <c r="C350" s="207" t="s">
        <v>75</v>
      </c>
      <c r="D350" s="427">
        <v>686</v>
      </c>
      <c r="E350" s="194"/>
      <c r="F350" s="195"/>
      <c r="G350" s="294"/>
      <c r="H350" s="294"/>
      <c r="I350" s="329">
        <f>SUM(F351:F374)</f>
        <v>0</v>
      </c>
    </row>
    <row r="351" spans="1:9" ht="12.75">
      <c r="A351" s="241"/>
      <c r="B351" s="204" t="s">
        <v>301</v>
      </c>
      <c r="C351" s="205"/>
      <c r="D351" s="189"/>
      <c r="E351" s="189"/>
      <c r="F351" s="190"/>
      <c r="G351" s="293"/>
      <c r="H351" s="293"/>
      <c r="I351" s="187"/>
    </row>
    <row r="352" spans="1:9" ht="12.75">
      <c r="A352" s="237" t="s">
        <v>138</v>
      </c>
      <c r="B352" s="156" t="s">
        <v>302</v>
      </c>
      <c r="C352" s="159" t="s">
        <v>75</v>
      </c>
      <c r="D352" s="158">
        <f>((D350/100)*20)*2</f>
        <v>274.40000000000003</v>
      </c>
      <c r="E352" s="158"/>
      <c r="F352" s="185">
        <f aca="true" t="shared" si="19" ref="F352:F372">E352*D352</f>
        <v>0</v>
      </c>
      <c r="G352" s="280"/>
      <c r="H352" s="280"/>
      <c r="I352" s="187"/>
    </row>
    <row r="353" spans="1:9" ht="12.75">
      <c r="A353" s="237" t="s">
        <v>86</v>
      </c>
      <c r="B353" s="156" t="s">
        <v>119</v>
      </c>
      <c r="C353" s="159" t="s">
        <v>106</v>
      </c>
      <c r="D353" s="158">
        <f>(D352/100)*0.2</f>
        <v>0.5488000000000001</v>
      </c>
      <c r="E353" s="158"/>
      <c r="F353" s="185">
        <f t="shared" si="19"/>
        <v>0</v>
      </c>
      <c r="G353" s="280"/>
      <c r="H353" s="280"/>
      <c r="I353" s="187"/>
    </row>
    <row r="354" spans="1:9" ht="20.4">
      <c r="A354" s="237" t="s">
        <v>191</v>
      </c>
      <c r="B354" s="156" t="s">
        <v>307</v>
      </c>
      <c r="C354" s="159" t="s">
        <v>75</v>
      </c>
      <c r="D354" s="158">
        <f>D350</f>
        <v>686</v>
      </c>
      <c r="E354" s="158"/>
      <c r="F354" s="185">
        <f t="shared" si="19"/>
        <v>0</v>
      </c>
      <c r="G354" s="280"/>
      <c r="H354" s="280"/>
      <c r="I354" s="187"/>
    </row>
    <row r="355" spans="1:9" ht="12.75">
      <c r="A355" s="237"/>
      <c r="B355" s="156" t="s">
        <v>303</v>
      </c>
      <c r="C355" s="159" t="s">
        <v>76</v>
      </c>
      <c r="D355" s="158">
        <f>D350*0.01</f>
        <v>6.86</v>
      </c>
      <c r="E355" s="158"/>
      <c r="F355" s="185"/>
      <c r="G355" s="280"/>
      <c r="H355" s="280"/>
      <c r="I355" s="187"/>
    </row>
    <row r="356" spans="1:9" ht="12.75">
      <c r="A356" s="237" t="s">
        <v>85</v>
      </c>
      <c r="B356" s="156" t="s">
        <v>322</v>
      </c>
      <c r="C356" s="159"/>
      <c r="D356" s="158"/>
      <c r="E356" s="158"/>
      <c r="F356" s="185"/>
      <c r="G356" s="280"/>
      <c r="H356" s="280"/>
      <c r="I356" s="187"/>
    </row>
    <row r="357" spans="1:9" ht="12.75">
      <c r="A357" s="237" t="s">
        <v>82</v>
      </c>
      <c r="B357" s="156" t="s">
        <v>321</v>
      </c>
      <c r="C357" s="159" t="s">
        <v>76</v>
      </c>
      <c r="D357" s="158">
        <f>(D350/100*20)*0.05</f>
        <v>6.860000000000001</v>
      </c>
      <c r="E357" s="158"/>
      <c r="F357" s="185">
        <f t="shared" si="19"/>
        <v>0</v>
      </c>
      <c r="G357" s="280">
        <v>1</v>
      </c>
      <c r="H357" s="280">
        <f aca="true" t="shared" si="20" ref="H357">G357*D357</f>
        <v>6.860000000000001</v>
      </c>
      <c r="I357" s="187"/>
    </row>
    <row r="358" spans="1:9" ht="20.4">
      <c r="A358" s="237" t="s">
        <v>85</v>
      </c>
      <c r="B358" s="156" t="s">
        <v>323</v>
      </c>
      <c r="C358" s="159"/>
      <c r="D358" s="168"/>
      <c r="E358" s="158"/>
      <c r="F358" s="185"/>
      <c r="G358" s="280"/>
      <c r="H358" s="280"/>
      <c r="I358" s="187"/>
    </row>
    <row r="359" spans="1:9" ht="12.75">
      <c r="A359" s="237" t="s">
        <v>85</v>
      </c>
      <c r="B359" s="156" t="s">
        <v>299</v>
      </c>
      <c r="C359" s="159" t="s">
        <v>75</v>
      </c>
      <c r="D359" s="158">
        <f>(D350/100)*20</f>
        <v>137.20000000000002</v>
      </c>
      <c r="E359" s="158"/>
      <c r="F359" s="185"/>
      <c r="G359" s="280"/>
      <c r="H359" s="280"/>
      <c r="I359" s="187"/>
    </row>
    <row r="360" spans="1:9" ht="12.75">
      <c r="A360" s="237" t="s">
        <v>85</v>
      </c>
      <c r="B360" s="156" t="s">
        <v>131</v>
      </c>
      <c r="C360" s="159" t="s">
        <v>76</v>
      </c>
      <c r="D360" s="173">
        <f>D359*0.05</f>
        <v>6.860000000000001</v>
      </c>
      <c r="E360" s="158"/>
      <c r="F360" s="185"/>
      <c r="G360" s="280"/>
      <c r="H360" s="280"/>
      <c r="I360" s="187"/>
    </row>
    <row r="361" spans="1:9" ht="12.75">
      <c r="A361" s="237" t="s">
        <v>86</v>
      </c>
      <c r="B361" s="156" t="s">
        <v>309</v>
      </c>
      <c r="C361" s="159" t="s">
        <v>76</v>
      </c>
      <c r="D361" s="158">
        <f>D360</f>
        <v>6.860000000000001</v>
      </c>
      <c r="E361" s="158"/>
      <c r="F361" s="185">
        <f t="shared" si="19"/>
        <v>0</v>
      </c>
      <c r="G361" s="280"/>
      <c r="H361" s="280"/>
      <c r="I361" s="187"/>
    </row>
    <row r="362" spans="1:9" ht="12.75">
      <c r="A362" s="237" t="s">
        <v>87</v>
      </c>
      <c r="B362" s="156" t="s">
        <v>88</v>
      </c>
      <c r="C362" s="159" t="s">
        <v>76</v>
      </c>
      <c r="D362" s="158">
        <f>D360</f>
        <v>6.860000000000001</v>
      </c>
      <c r="E362" s="158"/>
      <c r="F362" s="185">
        <f t="shared" si="19"/>
        <v>0</v>
      </c>
      <c r="G362" s="280"/>
      <c r="H362" s="280"/>
      <c r="I362" s="187"/>
    </row>
    <row r="363" spans="1:9" ht="12.75">
      <c r="A363" s="237" t="s">
        <v>89</v>
      </c>
      <c r="B363" s="156" t="s">
        <v>90</v>
      </c>
      <c r="C363" s="159" t="s">
        <v>76</v>
      </c>
      <c r="D363" s="158">
        <f>D360</f>
        <v>6.860000000000001</v>
      </c>
      <c r="E363" s="158"/>
      <c r="F363" s="185">
        <f t="shared" si="19"/>
        <v>0</v>
      </c>
      <c r="G363" s="280"/>
      <c r="H363" s="280"/>
      <c r="I363" s="187"/>
    </row>
    <row r="364" spans="1:9" ht="12.75">
      <c r="A364" s="237" t="s">
        <v>139</v>
      </c>
      <c r="B364" s="156" t="s">
        <v>308</v>
      </c>
      <c r="C364" s="159" t="s">
        <v>75</v>
      </c>
      <c r="D364" s="158">
        <f>D360</f>
        <v>6.860000000000001</v>
      </c>
      <c r="E364" s="158"/>
      <c r="F364" s="185">
        <f t="shared" si="19"/>
        <v>0</v>
      </c>
      <c r="G364" s="280"/>
      <c r="H364" s="280"/>
      <c r="I364" s="187"/>
    </row>
    <row r="365" spans="1:9" ht="12.75">
      <c r="A365" s="237" t="s">
        <v>92</v>
      </c>
      <c r="B365" s="156" t="s">
        <v>294</v>
      </c>
      <c r="C365" s="159" t="s">
        <v>75</v>
      </c>
      <c r="D365" s="158">
        <f>D350*2</f>
        <v>1372</v>
      </c>
      <c r="E365" s="158"/>
      <c r="F365" s="185">
        <f t="shared" si="19"/>
        <v>0</v>
      </c>
      <c r="G365" s="280"/>
      <c r="H365" s="280"/>
      <c r="I365" s="187"/>
    </row>
    <row r="366" spans="1:9" ht="12.75">
      <c r="A366" s="237" t="s">
        <v>304</v>
      </c>
      <c r="B366" s="156" t="s">
        <v>305</v>
      </c>
      <c r="C366" s="159" t="s">
        <v>75</v>
      </c>
      <c r="D366" s="158">
        <f>D350*2</f>
        <v>1372</v>
      </c>
      <c r="E366" s="158"/>
      <c r="F366" s="185">
        <f t="shared" si="19"/>
        <v>0</v>
      </c>
      <c r="G366" s="280"/>
      <c r="H366" s="280"/>
      <c r="I366" s="187"/>
    </row>
    <row r="367" spans="1:9" ht="12.75">
      <c r="A367" s="237" t="s">
        <v>310</v>
      </c>
      <c r="B367" s="156" t="s">
        <v>311</v>
      </c>
      <c r="C367" s="159" t="s">
        <v>77</v>
      </c>
      <c r="D367" s="158">
        <f>D368/1000</f>
        <v>0.020579999999999998</v>
      </c>
      <c r="E367" s="158"/>
      <c r="F367" s="185">
        <f t="shared" si="19"/>
        <v>0</v>
      </c>
      <c r="G367" s="280"/>
      <c r="H367" s="280"/>
      <c r="I367" s="187"/>
    </row>
    <row r="368" spans="1:9" ht="20.4">
      <c r="A368" s="237" t="s">
        <v>86</v>
      </c>
      <c r="B368" s="156" t="s">
        <v>315</v>
      </c>
      <c r="C368" s="159" t="s">
        <v>78</v>
      </c>
      <c r="D368" s="158">
        <f>D350*0.03</f>
        <v>20.58</v>
      </c>
      <c r="E368" s="158"/>
      <c r="F368" s="185">
        <f t="shared" si="19"/>
        <v>0</v>
      </c>
      <c r="G368" s="280"/>
      <c r="H368" s="280"/>
      <c r="I368" s="187"/>
    </row>
    <row r="369" spans="1:9" ht="12.75">
      <c r="A369" s="237" t="s">
        <v>86</v>
      </c>
      <c r="B369" s="156" t="s">
        <v>316</v>
      </c>
      <c r="C369" s="159" t="s">
        <v>78</v>
      </c>
      <c r="D369" s="158">
        <f>D350*0.025</f>
        <v>17.150000000000002</v>
      </c>
      <c r="E369" s="158"/>
      <c r="F369" s="185">
        <f t="shared" si="19"/>
        <v>0</v>
      </c>
      <c r="G369" s="280"/>
      <c r="H369" s="280"/>
      <c r="I369" s="187"/>
    </row>
    <row r="370" spans="1:9" ht="12.75">
      <c r="A370" s="237" t="s">
        <v>96</v>
      </c>
      <c r="B370" s="156" t="s">
        <v>356</v>
      </c>
      <c r="C370" s="159" t="s">
        <v>75</v>
      </c>
      <c r="D370" s="158">
        <f>D350</f>
        <v>686</v>
      </c>
      <c r="E370" s="158"/>
      <c r="F370" s="185">
        <f t="shared" si="19"/>
        <v>0</v>
      </c>
      <c r="G370" s="280"/>
      <c r="H370" s="280"/>
      <c r="I370" s="187"/>
    </row>
    <row r="371" spans="1:9" ht="12.75">
      <c r="A371" s="237" t="s">
        <v>92</v>
      </c>
      <c r="B371" s="156" t="s">
        <v>306</v>
      </c>
      <c r="C371" s="159" t="s">
        <v>75</v>
      </c>
      <c r="D371" s="158">
        <f>D350*2</f>
        <v>1372</v>
      </c>
      <c r="E371" s="158"/>
      <c r="F371" s="185">
        <f t="shared" si="19"/>
        <v>0</v>
      </c>
      <c r="G371" s="280"/>
      <c r="H371" s="280"/>
      <c r="I371" s="187"/>
    </row>
    <row r="372" spans="1:12" s="366" customFormat="1" ht="20.4">
      <c r="A372" s="237" t="s">
        <v>98</v>
      </c>
      <c r="B372" s="156" t="s">
        <v>313</v>
      </c>
      <c r="C372" s="159" t="s">
        <v>76</v>
      </c>
      <c r="D372" s="158">
        <f>D350*0.02</f>
        <v>13.72</v>
      </c>
      <c r="E372" s="158"/>
      <c r="F372" s="185">
        <f t="shared" si="19"/>
        <v>0</v>
      </c>
      <c r="G372" s="280"/>
      <c r="H372" s="280"/>
      <c r="I372" s="187"/>
      <c r="J372" s="399"/>
      <c r="K372" s="278"/>
      <c r="L372" s="278"/>
    </row>
    <row r="373" spans="1:12" s="366" customFormat="1" ht="12.75">
      <c r="A373" s="237" t="s">
        <v>97</v>
      </c>
      <c r="B373" s="156" t="s">
        <v>312</v>
      </c>
      <c r="C373" s="159" t="s">
        <v>75</v>
      </c>
      <c r="D373" s="158">
        <f>D350*2</f>
        <v>1372</v>
      </c>
      <c r="E373" s="158"/>
      <c r="F373" s="185">
        <f>E373*D373</f>
        <v>0</v>
      </c>
      <c r="G373" s="280"/>
      <c r="H373" s="280"/>
      <c r="I373" s="187"/>
      <c r="J373" s="399"/>
      <c r="K373" s="278"/>
      <c r="L373" s="278"/>
    </row>
    <row r="374" spans="1:12" s="366" customFormat="1" ht="12.75">
      <c r="A374" s="237" t="s">
        <v>100</v>
      </c>
      <c r="B374" s="156" t="s">
        <v>101</v>
      </c>
      <c r="C374" s="159" t="s">
        <v>77</v>
      </c>
      <c r="D374" s="158">
        <f>H374</f>
        <v>6.860000000000001</v>
      </c>
      <c r="E374" s="158"/>
      <c r="F374" s="185">
        <f>E374*D374</f>
        <v>0</v>
      </c>
      <c r="G374" s="280"/>
      <c r="H374" s="280">
        <f>SUM(H350:H373)</f>
        <v>6.860000000000001</v>
      </c>
      <c r="I374" s="187"/>
      <c r="J374" s="399"/>
      <c r="K374" s="278"/>
      <c r="L374" s="278"/>
    </row>
    <row r="375" spans="1:12" s="366" customFormat="1" ht="12.75">
      <c r="A375" s="237"/>
      <c r="B375" s="156"/>
      <c r="C375" s="159"/>
      <c r="D375" s="158"/>
      <c r="E375" s="158"/>
      <c r="F375" s="185"/>
      <c r="G375" s="280"/>
      <c r="H375" s="280"/>
      <c r="I375" s="187"/>
      <c r="J375" s="399"/>
      <c r="K375" s="278"/>
      <c r="L375" s="278"/>
    </row>
    <row r="376" spans="1:12" s="366" customFormat="1" ht="12.75">
      <c r="A376" s="238" t="s">
        <v>73</v>
      </c>
      <c r="B376" s="172" t="str">
        <f>CONCATENATE(A56," ",B56)</f>
        <v xml:space="preserve"> Výsadba rostlin dle jednotlivých záhonů, založení trávníku</v>
      </c>
      <c r="C376" s="167"/>
      <c r="D376" s="173"/>
      <c r="E376" s="173"/>
      <c r="F376" s="186">
        <f>SUM(F56:F374)</f>
        <v>0</v>
      </c>
      <c r="G376" s="282"/>
      <c r="H376" s="280"/>
      <c r="I376" s="291"/>
      <c r="J376" s="400"/>
      <c r="K376" s="278"/>
      <c r="L376" s="278"/>
    </row>
    <row r="377" spans="1:12" s="366" customFormat="1" ht="13.8" thickBot="1">
      <c r="A377" s="239"/>
      <c r="B377" s="196"/>
      <c r="C377" s="197"/>
      <c r="D377" s="198"/>
      <c r="E377" s="198"/>
      <c r="F377" s="199"/>
      <c r="G377" s="303"/>
      <c r="H377" s="292"/>
      <c r="I377" s="291"/>
      <c r="J377" s="401"/>
      <c r="K377" s="278"/>
      <c r="L377" s="278"/>
    </row>
    <row r="378" spans="1:12" s="366" customFormat="1" ht="13.8" thickBot="1">
      <c r="A378" s="406"/>
      <c r="B378" s="407"/>
      <c r="C378" s="407"/>
      <c r="D378" s="408"/>
      <c r="E378" s="408"/>
      <c r="F378" s="409">
        <f>SUM(F1:F377)/2</f>
        <v>0</v>
      </c>
      <c r="G378" s="410"/>
      <c r="H378" s="410"/>
      <c r="I378" s="411">
        <f>SUM(I6:I377)</f>
        <v>0</v>
      </c>
      <c r="J378" s="399"/>
      <c r="K378" s="278"/>
      <c r="L378" s="278"/>
    </row>
    <row r="379" spans="1:12" s="366" customFormat="1" ht="13.8" thickBot="1">
      <c r="A379" s="236"/>
      <c r="B379" s="169" t="s">
        <v>425</v>
      </c>
      <c r="C379" s="162"/>
      <c r="D379" s="181"/>
      <c r="E379" s="181"/>
      <c r="F379" s="184"/>
      <c r="G379" s="278"/>
      <c r="H379" s="278"/>
      <c r="I379" s="184">
        <f>I606</f>
        <v>0</v>
      </c>
      <c r="J379" s="399"/>
      <c r="K379" s="278"/>
      <c r="L379" s="278"/>
    </row>
    <row r="380" spans="1:10" s="382" customFormat="1" ht="13.8" thickBot="1">
      <c r="A380" s="302"/>
      <c r="B380" s="206" t="s">
        <v>406</v>
      </c>
      <c r="C380" s="207" t="s">
        <v>75</v>
      </c>
      <c r="D380" s="427">
        <f>D389</f>
        <v>15.7</v>
      </c>
      <c r="E380" s="194"/>
      <c r="F380" s="195">
        <f>E380*D380</f>
        <v>0</v>
      </c>
      <c r="G380" s="294"/>
      <c r="H380" s="306"/>
      <c r="I380" s="329">
        <f>SUM(F381:F429)</f>
        <v>0</v>
      </c>
      <c r="J380" s="391"/>
    </row>
    <row r="381" spans="1:10" s="382" customFormat="1" ht="12.75">
      <c r="A381" s="241"/>
      <c r="B381" s="209" t="s">
        <v>115</v>
      </c>
      <c r="C381" s="205" t="s">
        <v>75</v>
      </c>
      <c r="D381" s="428">
        <f>D390</f>
        <v>15.7</v>
      </c>
      <c r="E381" s="189"/>
      <c r="F381" s="190"/>
      <c r="G381" s="293"/>
      <c r="H381" s="305"/>
      <c r="J381" s="391"/>
    </row>
    <row r="382" spans="1:10" s="382" customFormat="1" ht="12.75">
      <c r="A382" s="237" t="s">
        <v>79</v>
      </c>
      <c r="B382" s="156" t="s">
        <v>151</v>
      </c>
      <c r="C382" s="159" t="s">
        <v>75</v>
      </c>
      <c r="D382" s="158">
        <f>D381</f>
        <v>15.7</v>
      </c>
      <c r="E382" s="158"/>
      <c r="F382" s="185">
        <f>E382*D382</f>
        <v>0</v>
      </c>
      <c r="G382" s="280"/>
      <c r="H382" s="283"/>
      <c r="J382" s="391"/>
    </row>
    <row r="383" spans="1:10" s="382" customFormat="1" ht="12.75">
      <c r="A383" s="237" t="s">
        <v>138</v>
      </c>
      <c r="B383" s="156" t="s">
        <v>300</v>
      </c>
      <c r="C383" s="159" t="s">
        <v>75</v>
      </c>
      <c r="D383" s="158">
        <f>(D381/3)*2*2</f>
        <v>20.933333333333334</v>
      </c>
      <c r="E383" s="158"/>
      <c r="F383" s="185">
        <f aca="true" t="shared" si="21" ref="F383:F445">E383*D383</f>
        <v>0</v>
      </c>
      <c r="G383" s="280"/>
      <c r="H383" s="283"/>
      <c r="J383" s="391"/>
    </row>
    <row r="384" spans="1:10" s="382" customFormat="1" ht="12.75">
      <c r="A384" s="237" t="s">
        <v>86</v>
      </c>
      <c r="B384" s="156" t="s">
        <v>119</v>
      </c>
      <c r="C384" s="159" t="s">
        <v>106</v>
      </c>
      <c r="D384" s="158">
        <f>(D383/100)*0.2</f>
        <v>0.04186666666666667</v>
      </c>
      <c r="E384" s="158"/>
      <c r="F384" s="185">
        <f t="shared" si="21"/>
        <v>0</v>
      </c>
      <c r="G384" s="280"/>
      <c r="H384" s="283"/>
      <c r="J384" s="391"/>
    </row>
    <row r="385" spans="1:10" s="382" customFormat="1" ht="12.75">
      <c r="A385" s="237" t="s">
        <v>85</v>
      </c>
      <c r="B385" s="156" t="s">
        <v>116</v>
      </c>
      <c r="C385" s="159"/>
      <c r="D385" s="158"/>
      <c r="E385" s="158"/>
      <c r="F385" s="185"/>
      <c r="G385" s="280"/>
      <c r="H385" s="283"/>
      <c r="J385" s="391"/>
    </row>
    <row r="386" spans="1:10" s="382" customFormat="1" ht="12.75">
      <c r="A386" s="237" t="s">
        <v>82</v>
      </c>
      <c r="B386" s="156" t="s">
        <v>320</v>
      </c>
      <c r="C386" s="159" t="s">
        <v>76</v>
      </c>
      <c r="D386" s="158">
        <f>D381/2*0.03</f>
        <v>0.2355</v>
      </c>
      <c r="E386" s="158"/>
      <c r="F386" s="185">
        <f t="shared" si="21"/>
        <v>0</v>
      </c>
      <c r="G386" s="280">
        <v>0.8</v>
      </c>
      <c r="H386" s="283">
        <v>0.1884</v>
      </c>
      <c r="J386" s="391"/>
    </row>
    <row r="387" spans="1:10" s="382" customFormat="1" ht="12.75">
      <c r="A387" s="237" t="s">
        <v>83</v>
      </c>
      <c r="B387" s="156" t="s">
        <v>84</v>
      </c>
      <c r="C387" s="159" t="s">
        <v>75</v>
      </c>
      <c r="D387" s="158">
        <f>D381*0.5</f>
        <v>7.85</v>
      </c>
      <c r="E387" s="158"/>
      <c r="F387" s="185">
        <f t="shared" si="21"/>
        <v>0</v>
      </c>
      <c r="G387" s="280"/>
      <c r="H387" s="283"/>
      <c r="J387" s="391"/>
    </row>
    <row r="388" spans="1:10" s="382" customFormat="1" ht="12.75">
      <c r="A388" s="237" t="s">
        <v>85</v>
      </c>
      <c r="B388" s="157" t="s">
        <v>134</v>
      </c>
      <c r="C388" s="159" t="s">
        <v>75</v>
      </c>
      <c r="D388" s="173">
        <f>D381</f>
        <v>15.7</v>
      </c>
      <c r="E388" s="158"/>
      <c r="F388" s="185"/>
      <c r="G388" s="280"/>
      <c r="H388" s="283"/>
      <c r="J388" s="391"/>
    </row>
    <row r="389" spans="1:10" s="382" customFormat="1" ht="20.4">
      <c r="A389" s="237" t="s">
        <v>118</v>
      </c>
      <c r="B389" s="156" t="s">
        <v>117</v>
      </c>
      <c r="C389" s="159" t="s">
        <v>75</v>
      </c>
      <c r="D389" s="158">
        <f>D388</f>
        <v>15.7</v>
      </c>
      <c r="E389" s="158"/>
      <c r="F389" s="185">
        <f t="shared" si="21"/>
        <v>0</v>
      </c>
      <c r="G389" s="280"/>
      <c r="H389" s="283"/>
      <c r="J389" s="391"/>
    </row>
    <row r="390" spans="1:10" s="382" customFormat="1" ht="12.75">
      <c r="A390" s="237"/>
      <c r="B390" s="157" t="s">
        <v>407</v>
      </c>
      <c r="C390" s="159" t="s">
        <v>75</v>
      </c>
      <c r="D390" s="173">
        <v>15.7</v>
      </c>
      <c r="E390" s="158"/>
      <c r="F390" s="185"/>
      <c r="G390" s="280"/>
      <c r="H390" s="283"/>
      <c r="J390" s="391"/>
    </row>
    <row r="391" spans="1:10" s="382" customFormat="1" ht="12.75">
      <c r="A391" s="237" t="s">
        <v>86</v>
      </c>
      <c r="B391" s="231" t="s">
        <v>204</v>
      </c>
      <c r="C391" s="159" t="s">
        <v>72</v>
      </c>
      <c r="D391" s="158">
        <v>9</v>
      </c>
      <c r="E391" s="158"/>
      <c r="F391" s="185">
        <f t="shared" si="21"/>
        <v>0</v>
      </c>
      <c r="G391" s="280">
        <v>0.0005</v>
      </c>
      <c r="H391" s="283">
        <v>0.0045000000000000005</v>
      </c>
      <c r="I391" s="187"/>
      <c r="J391" s="399"/>
    </row>
    <row r="392" spans="1:10" s="382" customFormat="1" ht="12.75">
      <c r="A392" s="237" t="s">
        <v>86</v>
      </c>
      <c r="B392" s="231" t="s">
        <v>238</v>
      </c>
      <c r="C392" s="159" t="s">
        <v>72</v>
      </c>
      <c r="D392" s="158">
        <v>5</v>
      </c>
      <c r="E392" s="158"/>
      <c r="F392" s="185">
        <f t="shared" si="21"/>
        <v>0</v>
      </c>
      <c r="G392" s="280">
        <v>0.0005</v>
      </c>
      <c r="H392" s="283">
        <v>0.0025</v>
      </c>
      <c r="J392" s="399"/>
    </row>
    <row r="393" spans="1:10" s="382" customFormat="1" ht="12.75">
      <c r="A393" s="237" t="s">
        <v>86</v>
      </c>
      <c r="B393" s="231" t="s">
        <v>240</v>
      </c>
      <c r="C393" s="159" t="s">
        <v>72</v>
      </c>
      <c r="D393" s="158">
        <v>21</v>
      </c>
      <c r="E393" s="158"/>
      <c r="F393" s="185">
        <f t="shared" si="21"/>
        <v>0</v>
      </c>
      <c r="G393" s="280">
        <v>0.0005</v>
      </c>
      <c r="H393" s="283">
        <v>0.0105</v>
      </c>
      <c r="J393" s="399"/>
    </row>
    <row r="394" spans="1:10" s="382" customFormat="1" ht="12.75">
      <c r="A394" s="237" t="s">
        <v>86</v>
      </c>
      <c r="B394" s="231" t="s">
        <v>209</v>
      </c>
      <c r="C394" s="159" t="s">
        <v>72</v>
      </c>
      <c r="D394" s="158">
        <v>13</v>
      </c>
      <c r="E394" s="158"/>
      <c r="F394" s="185">
        <f t="shared" si="21"/>
        <v>0</v>
      </c>
      <c r="G394" s="280">
        <v>0.0005</v>
      </c>
      <c r="H394" s="283">
        <v>0.006500000000000001</v>
      </c>
      <c r="J394" s="399"/>
    </row>
    <row r="395" spans="1:10" s="382" customFormat="1" ht="12.75">
      <c r="A395" s="237" t="s">
        <v>86</v>
      </c>
      <c r="B395" s="160" t="s">
        <v>421</v>
      </c>
      <c r="C395" s="159" t="s">
        <v>72</v>
      </c>
      <c r="D395" s="158">
        <v>8</v>
      </c>
      <c r="E395" s="158"/>
      <c r="F395" s="185">
        <f t="shared" si="21"/>
        <v>0</v>
      </c>
      <c r="G395" s="280">
        <v>0.0005</v>
      </c>
      <c r="H395" s="283">
        <v>0.004</v>
      </c>
      <c r="J395" s="399"/>
    </row>
    <row r="396" spans="1:10" s="382" customFormat="1" ht="12.75">
      <c r="A396" s="237" t="s">
        <v>86</v>
      </c>
      <c r="B396" s="160" t="s">
        <v>213</v>
      </c>
      <c r="C396" s="159" t="s">
        <v>72</v>
      </c>
      <c r="D396" s="158">
        <v>13</v>
      </c>
      <c r="E396" s="158"/>
      <c r="F396" s="185">
        <f t="shared" si="21"/>
        <v>0</v>
      </c>
      <c r="G396" s="280">
        <v>0.0005</v>
      </c>
      <c r="H396" s="283">
        <v>0.006500000000000001</v>
      </c>
      <c r="J396" s="399"/>
    </row>
    <row r="397" spans="1:10" s="382" customFormat="1" ht="12.75">
      <c r="A397" s="237" t="s">
        <v>86</v>
      </c>
      <c r="B397" s="231" t="s">
        <v>214</v>
      </c>
      <c r="C397" s="159" t="s">
        <v>72</v>
      </c>
      <c r="D397" s="431">
        <v>22</v>
      </c>
      <c r="E397" s="158"/>
      <c r="F397" s="185">
        <f t="shared" si="21"/>
        <v>0</v>
      </c>
      <c r="G397" s="280">
        <v>0.0005</v>
      </c>
      <c r="H397" s="283">
        <v>0.011</v>
      </c>
      <c r="J397" s="399"/>
    </row>
    <row r="398" spans="1:10" s="382" customFormat="1" ht="12.75">
      <c r="A398" s="237" t="s">
        <v>86</v>
      </c>
      <c r="B398" s="231" t="s">
        <v>216</v>
      </c>
      <c r="C398" s="159" t="s">
        <v>72</v>
      </c>
      <c r="D398" s="431">
        <v>12</v>
      </c>
      <c r="E398" s="158"/>
      <c r="F398" s="185">
        <f t="shared" si="21"/>
        <v>0</v>
      </c>
      <c r="G398" s="280">
        <v>0.0005</v>
      </c>
      <c r="H398" s="283">
        <v>0.006</v>
      </c>
      <c r="J398" s="399"/>
    </row>
    <row r="399" spans="1:10" s="382" customFormat="1" ht="12.75">
      <c r="A399" s="237"/>
      <c r="B399" s="157"/>
      <c r="C399" s="159"/>
      <c r="D399" s="432">
        <f>SUM(D391:D398)</f>
        <v>103</v>
      </c>
      <c r="E399" s="431"/>
      <c r="F399" s="431"/>
      <c r="G399" s="280"/>
      <c r="H399" s="283"/>
      <c r="J399" s="391"/>
    </row>
    <row r="400" spans="1:10" s="382" customFormat="1" ht="12.75">
      <c r="A400" s="237"/>
      <c r="B400" s="157" t="s">
        <v>318</v>
      </c>
      <c r="C400" s="159"/>
      <c r="D400" s="431"/>
      <c r="E400" s="158"/>
      <c r="F400" s="185"/>
      <c r="G400" s="280"/>
      <c r="H400" s="283"/>
      <c r="J400" s="391"/>
    </row>
    <row r="401" spans="1:10" s="382" customFormat="1" ht="12.75">
      <c r="A401" s="237" t="s">
        <v>86</v>
      </c>
      <c r="B401" s="231" t="s">
        <v>278</v>
      </c>
      <c r="C401" s="159" t="s">
        <v>72</v>
      </c>
      <c r="D401" s="431">
        <v>235</v>
      </c>
      <c r="E401" s="158"/>
      <c r="F401" s="185">
        <f t="shared" si="21"/>
        <v>0</v>
      </c>
      <c r="G401" s="280"/>
      <c r="H401" s="283"/>
      <c r="J401" s="391"/>
    </row>
    <row r="402" spans="1:10" s="382" customFormat="1" ht="12.75">
      <c r="A402" s="237"/>
      <c r="B402" s="157"/>
      <c r="C402" s="159" t="s">
        <v>72</v>
      </c>
      <c r="D402" s="432">
        <f>SUM(D401:D401)</f>
        <v>235</v>
      </c>
      <c r="E402" s="158"/>
      <c r="F402" s="185"/>
      <c r="G402" s="280"/>
      <c r="H402" s="283"/>
      <c r="J402" s="391"/>
    </row>
    <row r="403" spans="1:10" s="382" customFormat="1" ht="12.75">
      <c r="A403" s="237" t="s">
        <v>86</v>
      </c>
      <c r="B403" s="156" t="s">
        <v>408</v>
      </c>
      <c r="C403" s="159" t="s">
        <v>76</v>
      </c>
      <c r="D403" s="158">
        <f>1.95*1.05</f>
        <v>2.0475</v>
      </c>
      <c r="E403" s="158"/>
      <c r="F403" s="185">
        <f t="shared" si="21"/>
        <v>0</v>
      </c>
      <c r="G403" s="280">
        <v>1.5</v>
      </c>
      <c r="H403" s="283">
        <v>3.07125</v>
      </c>
      <c r="J403" s="391"/>
    </row>
    <row r="404" spans="1:10" s="382" customFormat="1" ht="12.75">
      <c r="A404" s="237" t="s">
        <v>85</v>
      </c>
      <c r="B404" s="156" t="s">
        <v>409</v>
      </c>
      <c r="C404" s="159" t="s">
        <v>76</v>
      </c>
      <c r="D404" s="158">
        <f>D390*0.05*1.05</f>
        <v>0.82425</v>
      </c>
      <c r="E404" s="158"/>
      <c r="F404" s="185"/>
      <c r="G404" s="280"/>
      <c r="H404" s="283"/>
      <c r="J404" s="391"/>
    </row>
    <row r="405" spans="1:10" s="382" customFormat="1" ht="12.75">
      <c r="A405" s="237" t="s">
        <v>86</v>
      </c>
      <c r="B405" s="156" t="s">
        <v>357</v>
      </c>
      <c r="C405" s="159" t="s">
        <v>72</v>
      </c>
      <c r="D405" s="158">
        <f>D399</f>
        <v>103</v>
      </c>
      <c r="E405" s="158"/>
      <c r="F405" s="185">
        <f t="shared" si="21"/>
        <v>0</v>
      </c>
      <c r="G405" s="280"/>
      <c r="H405" s="283"/>
      <c r="J405" s="391"/>
    </row>
    <row r="406" spans="1:10" s="382" customFormat="1" ht="12.75">
      <c r="A406" s="237" t="s">
        <v>86</v>
      </c>
      <c r="B406" s="156" t="s">
        <v>410</v>
      </c>
      <c r="C406" s="159" t="s">
        <v>105</v>
      </c>
      <c r="D406" s="158">
        <v>11.3</v>
      </c>
      <c r="E406" s="158"/>
      <c r="F406" s="185">
        <f t="shared" si="21"/>
        <v>0</v>
      </c>
      <c r="G406" s="280"/>
      <c r="H406" s="283"/>
      <c r="J406" s="391"/>
    </row>
    <row r="407" spans="1:10" s="382" customFormat="1" ht="12.75">
      <c r="A407" s="237" t="s">
        <v>86</v>
      </c>
      <c r="B407" s="156" t="s">
        <v>146</v>
      </c>
      <c r="C407" s="159" t="s">
        <v>72</v>
      </c>
      <c r="D407" s="158">
        <v>8</v>
      </c>
      <c r="E407" s="158"/>
      <c r="F407" s="185">
        <f t="shared" si="21"/>
        <v>0</v>
      </c>
      <c r="G407" s="280">
        <v>0.000534</v>
      </c>
      <c r="H407" s="283">
        <v>0.004272</v>
      </c>
      <c r="J407" s="391"/>
    </row>
    <row r="408" spans="1:10" s="382" customFormat="1" ht="12.75">
      <c r="A408" s="237" t="s">
        <v>79</v>
      </c>
      <c r="B408" s="156" t="s">
        <v>411</v>
      </c>
      <c r="C408" s="159" t="s">
        <v>105</v>
      </c>
      <c r="D408" s="158">
        <f>D406</f>
        <v>11.3</v>
      </c>
      <c r="E408" s="158"/>
      <c r="F408" s="185">
        <f t="shared" si="21"/>
        <v>0</v>
      </c>
      <c r="G408" s="280"/>
      <c r="H408" s="283"/>
      <c r="J408" s="391"/>
    </row>
    <row r="409" spans="1:10" s="382" customFormat="1" ht="12.75">
      <c r="A409" s="237" t="s">
        <v>412</v>
      </c>
      <c r="B409" s="156" t="s">
        <v>413</v>
      </c>
      <c r="C409" s="159" t="s">
        <v>76</v>
      </c>
      <c r="D409" s="158">
        <f>D390*0.08</f>
        <v>1.256</v>
      </c>
      <c r="E409" s="158"/>
      <c r="F409" s="185">
        <f t="shared" si="21"/>
        <v>0</v>
      </c>
      <c r="G409" s="280"/>
      <c r="H409" s="283"/>
      <c r="J409" s="391"/>
    </row>
    <row r="410" spans="1:10" s="382" customFormat="1" ht="12.75">
      <c r="A410" s="237" t="s">
        <v>87</v>
      </c>
      <c r="B410" s="156" t="s">
        <v>88</v>
      </c>
      <c r="C410" s="159" t="s">
        <v>76</v>
      </c>
      <c r="D410" s="158">
        <f>D409</f>
        <v>1.256</v>
      </c>
      <c r="E410" s="158"/>
      <c r="F410" s="185">
        <f t="shared" si="21"/>
        <v>0</v>
      </c>
      <c r="G410" s="280"/>
      <c r="H410" s="283"/>
      <c r="J410" s="391"/>
    </row>
    <row r="411" spans="1:10" s="382" customFormat="1" ht="12.75">
      <c r="A411" s="237" t="s">
        <v>89</v>
      </c>
      <c r="B411" s="156" t="s">
        <v>90</v>
      </c>
      <c r="C411" s="159" t="s">
        <v>76</v>
      </c>
      <c r="D411" s="158">
        <f>D409</f>
        <v>1.256</v>
      </c>
      <c r="E411" s="158"/>
      <c r="F411" s="185">
        <f t="shared" si="21"/>
        <v>0</v>
      </c>
      <c r="G411" s="280"/>
      <c r="H411" s="283"/>
      <c r="J411" s="391"/>
    </row>
    <row r="412" spans="1:10" s="382" customFormat="1" ht="12.75">
      <c r="A412" s="237" t="s">
        <v>79</v>
      </c>
      <c r="B412" s="156" t="s">
        <v>414</v>
      </c>
      <c r="C412" s="159" t="s">
        <v>76</v>
      </c>
      <c r="D412" s="158">
        <f>D411</f>
        <v>1.256</v>
      </c>
      <c r="E412" s="158"/>
      <c r="F412" s="185">
        <f t="shared" si="21"/>
        <v>0</v>
      </c>
      <c r="G412" s="280"/>
      <c r="H412" s="283"/>
      <c r="J412" s="391"/>
    </row>
    <row r="413" spans="1:10" s="382" customFormat="1" ht="12.75">
      <c r="A413" s="237" t="s">
        <v>79</v>
      </c>
      <c r="B413" s="156" t="s">
        <v>145</v>
      </c>
      <c r="C413" s="159" t="s">
        <v>75</v>
      </c>
      <c r="D413" s="158">
        <f>D390</f>
        <v>15.7</v>
      </c>
      <c r="E413" s="158"/>
      <c r="F413" s="185">
        <f t="shared" si="21"/>
        <v>0</v>
      </c>
      <c r="G413" s="280"/>
      <c r="H413" s="283"/>
      <c r="J413" s="391"/>
    </row>
    <row r="414" spans="1:10" s="382" customFormat="1" ht="12.75">
      <c r="A414" s="237" t="s">
        <v>85</v>
      </c>
      <c r="B414" s="156" t="s">
        <v>131</v>
      </c>
      <c r="C414" s="159" t="s">
        <v>76</v>
      </c>
      <c r="D414" s="158">
        <f>D403</f>
        <v>2.0475</v>
      </c>
      <c r="E414" s="158"/>
      <c r="F414" s="185"/>
      <c r="G414" s="280"/>
      <c r="H414" s="283"/>
      <c r="J414" s="391"/>
    </row>
    <row r="415" spans="1:10" s="382" customFormat="1" ht="12.75">
      <c r="A415" s="237" t="s">
        <v>87</v>
      </c>
      <c r="B415" s="156" t="s">
        <v>88</v>
      </c>
      <c r="C415" s="159" t="s">
        <v>76</v>
      </c>
      <c r="D415" s="158">
        <f>D414</f>
        <v>2.0475</v>
      </c>
      <c r="E415" s="158"/>
      <c r="F415" s="185">
        <f t="shared" si="21"/>
        <v>0</v>
      </c>
      <c r="G415" s="280"/>
      <c r="H415" s="283"/>
      <c r="J415" s="391"/>
    </row>
    <row r="416" spans="1:10" s="382" customFormat="1" ht="12.75">
      <c r="A416" s="237" t="s">
        <v>89</v>
      </c>
      <c r="B416" s="156" t="s">
        <v>90</v>
      </c>
      <c r="C416" s="159" t="s">
        <v>76</v>
      </c>
      <c r="D416" s="158">
        <f>D414</f>
        <v>2.0475</v>
      </c>
      <c r="E416" s="158"/>
      <c r="F416" s="185">
        <f t="shared" si="21"/>
        <v>0</v>
      </c>
      <c r="G416" s="280"/>
      <c r="H416" s="283"/>
      <c r="J416" s="391"/>
    </row>
    <row r="417" spans="1:10" s="382" customFormat="1" ht="12.75">
      <c r="A417" s="237" t="s">
        <v>139</v>
      </c>
      <c r="B417" s="156" t="s">
        <v>198</v>
      </c>
      <c r="C417" s="159" t="s">
        <v>75</v>
      </c>
      <c r="D417" s="158">
        <f>D413</f>
        <v>15.7</v>
      </c>
      <c r="E417" s="158"/>
      <c r="F417" s="185">
        <f t="shared" si="21"/>
        <v>0</v>
      </c>
      <c r="G417" s="280"/>
      <c r="H417" s="283"/>
      <c r="J417" s="391"/>
    </row>
    <row r="418" spans="1:10" s="382" customFormat="1" ht="12.75">
      <c r="A418" s="237" t="s">
        <v>91</v>
      </c>
      <c r="B418" s="156" t="s">
        <v>125</v>
      </c>
      <c r="C418" s="159" t="s">
        <v>75</v>
      </c>
      <c r="D418" s="158">
        <f>D413*2</f>
        <v>31.4</v>
      </c>
      <c r="E418" s="158"/>
      <c r="F418" s="185">
        <f t="shared" si="21"/>
        <v>0</v>
      </c>
      <c r="G418" s="280"/>
      <c r="H418" s="283"/>
      <c r="J418" s="391"/>
    </row>
    <row r="419" spans="1:10" s="382" customFormat="1" ht="12.75">
      <c r="A419" s="237" t="s">
        <v>92</v>
      </c>
      <c r="B419" s="156" t="s">
        <v>294</v>
      </c>
      <c r="C419" s="159" t="s">
        <v>75</v>
      </c>
      <c r="D419" s="158">
        <f>D413*2</f>
        <v>31.4</v>
      </c>
      <c r="E419" s="158"/>
      <c r="F419" s="185">
        <f t="shared" si="21"/>
        <v>0</v>
      </c>
      <c r="G419" s="280"/>
      <c r="H419" s="283"/>
      <c r="J419" s="391"/>
    </row>
    <row r="420" spans="1:10" s="382" customFormat="1" ht="12.75">
      <c r="A420" s="237" t="s">
        <v>201</v>
      </c>
      <c r="B420" s="156" t="s">
        <v>140</v>
      </c>
      <c r="C420" s="159" t="s">
        <v>72</v>
      </c>
      <c r="D420" s="158">
        <f>D399</f>
        <v>103</v>
      </c>
      <c r="E420" s="158"/>
      <c r="F420" s="185">
        <f t="shared" si="21"/>
        <v>0</v>
      </c>
      <c r="G420" s="280"/>
      <c r="H420" s="283"/>
      <c r="J420" s="391"/>
    </row>
    <row r="421" spans="1:10" s="382" customFormat="1" ht="20.4">
      <c r="A421" s="237" t="s">
        <v>199</v>
      </c>
      <c r="B421" s="156" t="s">
        <v>200</v>
      </c>
      <c r="C421" s="159" t="s">
        <v>72</v>
      </c>
      <c r="D421" s="158">
        <f>D399</f>
        <v>103</v>
      </c>
      <c r="E421" s="158"/>
      <c r="F421" s="185">
        <f t="shared" si="21"/>
        <v>0</v>
      </c>
      <c r="G421" s="280"/>
      <c r="H421" s="283"/>
      <c r="J421" s="391"/>
    </row>
    <row r="422" spans="1:10" s="382" customFormat="1" ht="12.75">
      <c r="A422" s="237" t="s">
        <v>201</v>
      </c>
      <c r="B422" s="156" t="s">
        <v>140</v>
      </c>
      <c r="C422" s="159" t="s">
        <v>72</v>
      </c>
      <c r="D422" s="158">
        <f>D402</f>
        <v>235</v>
      </c>
      <c r="E422" s="158"/>
      <c r="F422" s="185">
        <f t="shared" si="21"/>
        <v>0</v>
      </c>
      <c r="G422" s="280"/>
      <c r="H422" s="283"/>
      <c r="J422" s="391"/>
    </row>
    <row r="423" spans="1:10" s="382" customFormat="1" ht="12.75">
      <c r="A423" s="237" t="s">
        <v>295</v>
      </c>
      <c r="B423" s="156" t="s">
        <v>296</v>
      </c>
      <c r="C423" s="159" t="s">
        <v>72</v>
      </c>
      <c r="D423" s="158">
        <f>D422</f>
        <v>235</v>
      </c>
      <c r="E423" s="158"/>
      <c r="F423" s="185">
        <f t="shared" si="21"/>
        <v>0</v>
      </c>
      <c r="G423" s="280"/>
      <c r="H423" s="283"/>
      <c r="J423" s="391"/>
    </row>
    <row r="424" spans="1:10" s="382" customFormat="1" ht="12.75">
      <c r="A424" s="237" t="s">
        <v>95</v>
      </c>
      <c r="B424" s="156" t="s">
        <v>124</v>
      </c>
      <c r="C424" s="159" t="s">
        <v>77</v>
      </c>
      <c r="D424" s="158">
        <f>(D405/100000)</f>
        <v>0.00103</v>
      </c>
      <c r="E424" s="158"/>
      <c r="F424" s="185">
        <f t="shared" si="21"/>
        <v>0</v>
      </c>
      <c r="G424" s="280"/>
      <c r="H424" s="283"/>
      <c r="J424" s="391"/>
    </row>
    <row r="425" spans="1:10" s="382" customFormat="1" ht="12.75">
      <c r="A425" s="237" t="s">
        <v>415</v>
      </c>
      <c r="B425" s="156" t="s">
        <v>416</v>
      </c>
      <c r="C425" s="159" t="s">
        <v>75</v>
      </c>
      <c r="D425" s="158">
        <f>D417</f>
        <v>15.7</v>
      </c>
      <c r="E425" s="158"/>
      <c r="F425" s="185">
        <f t="shared" si="21"/>
        <v>0</v>
      </c>
      <c r="G425" s="280"/>
      <c r="H425" s="283"/>
      <c r="J425" s="391"/>
    </row>
    <row r="426" spans="1:10" s="382" customFormat="1" ht="12.75">
      <c r="A426" s="237" t="s">
        <v>98</v>
      </c>
      <c r="B426" s="156" t="s">
        <v>99</v>
      </c>
      <c r="C426" s="159" t="s">
        <v>76</v>
      </c>
      <c r="D426" s="158">
        <f>D390*0.02</f>
        <v>0.314</v>
      </c>
      <c r="E426" s="158"/>
      <c r="F426" s="185">
        <f t="shared" si="21"/>
        <v>0</v>
      </c>
      <c r="G426" s="280"/>
      <c r="H426" s="283"/>
      <c r="J426" s="391"/>
    </row>
    <row r="427" spans="1:10" s="382" customFormat="1" ht="12.75">
      <c r="A427" s="237" t="s">
        <v>376</v>
      </c>
      <c r="B427" s="156" t="s">
        <v>101</v>
      </c>
      <c r="C427" s="159" t="s">
        <v>77</v>
      </c>
      <c r="D427" s="158">
        <f>H427</f>
        <v>3.315422</v>
      </c>
      <c r="E427" s="158"/>
      <c r="F427" s="185">
        <f t="shared" si="21"/>
        <v>0</v>
      </c>
      <c r="G427" s="280"/>
      <c r="H427" s="284">
        <v>3.315422</v>
      </c>
      <c r="J427" s="391"/>
    </row>
    <row r="428" spans="1:10" s="382" customFormat="1" ht="12.75">
      <c r="A428" s="237"/>
      <c r="B428" s="156"/>
      <c r="C428" s="159"/>
      <c r="D428" s="158"/>
      <c r="E428" s="158"/>
      <c r="F428" s="185"/>
      <c r="G428" s="280"/>
      <c r="H428" s="284"/>
      <c r="J428" s="391"/>
    </row>
    <row r="429" spans="1:10" s="382" customFormat="1" ht="13.8" thickBot="1">
      <c r="A429" s="237" t="s">
        <v>85</v>
      </c>
      <c r="B429" s="156" t="s">
        <v>417</v>
      </c>
      <c r="C429" s="159"/>
      <c r="D429" s="158"/>
      <c r="E429" s="158"/>
      <c r="F429" s="185"/>
      <c r="G429" s="280"/>
      <c r="H429" s="283"/>
      <c r="J429" s="391"/>
    </row>
    <row r="430" spans="1:10" s="382" customFormat="1" ht="13.8" thickBot="1">
      <c r="A430" s="302"/>
      <c r="B430" s="206" t="s">
        <v>418</v>
      </c>
      <c r="C430" s="207" t="s">
        <v>75</v>
      </c>
      <c r="D430" s="194">
        <v>88.5</v>
      </c>
      <c r="E430" s="194"/>
      <c r="F430" s="195">
        <f t="shared" si="21"/>
        <v>0</v>
      </c>
      <c r="G430" s="294"/>
      <c r="H430" s="306"/>
      <c r="I430" s="329">
        <f>SUM(F431:F485)</f>
        <v>0</v>
      </c>
      <c r="J430" s="391"/>
    </row>
    <row r="431" spans="1:10" s="382" customFormat="1" ht="12.75">
      <c r="A431" s="241"/>
      <c r="B431" s="209" t="s">
        <v>115</v>
      </c>
      <c r="C431" s="205" t="s">
        <v>75</v>
      </c>
      <c r="D431" s="428">
        <f>D440</f>
        <v>88.5</v>
      </c>
      <c r="E431" s="189"/>
      <c r="F431" s="190"/>
      <c r="G431" s="293"/>
      <c r="H431" s="305"/>
      <c r="J431" s="391"/>
    </row>
    <row r="432" spans="1:10" s="382" customFormat="1" ht="12.75">
      <c r="A432" s="237" t="s">
        <v>79</v>
      </c>
      <c r="B432" s="156" t="s">
        <v>151</v>
      </c>
      <c r="C432" s="159" t="s">
        <v>75</v>
      </c>
      <c r="D432" s="158">
        <f>D431</f>
        <v>88.5</v>
      </c>
      <c r="E432" s="158"/>
      <c r="F432" s="185">
        <f t="shared" si="21"/>
        <v>0</v>
      </c>
      <c r="G432" s="280"/>
      <c r="H432" s="283"/>
      <c r="J432" s="391"/>
    </row>
    <row r="433" spans="1:10" s="382" customFormat="1" ht="12.75">
      <c r="A433" s="237" t="s">
        <v>138</v>
      </c>
      <c r="B433" s="156" t="s">
        <v>300</v>
      </c>
      <c r="C433" s="159" t="s">
        <v>75</v>
      </c>
      <c r="D433" s="158">
        <f>(D431/3)*2*2</f>
        <v>118</v>
      </c>
      <c r="E433" s="158"/>
      <c r="F433" s="185">
        <f t="shared" si="21"/>
        <v>0</v>
      </c>
      <c r="G433" s="280"/>
      <c r="H433" s="283"/>
      <c r="J433" s="391"/>
    </row>
    <row r="434" spans="1:10" s="382" customFormat="1" ht="12.75">
      <c r="A434" s="237" t="s">
        <v>86</v>
      </c>
      <c r="B434" s="156" t="s">
        <v>119</v>
      </c>
      <c r="C434" s="159" t="s">
        <v>106</v>
      </c>
      <c r="D434" s="158">
        <f>(D433/100)*0.2</f>
        <v>0.236</v>
      </c>
      <c r="E434" s="158"/>
      <c r="F434" s="185">
        <f t="shared" si="21"/>
        <v>0</v>
      </c>
      <c r="G434" s="280"/>
      <c r="H434" s="283"/>
      <c r="J434" s="391"/>
    </row>
    <row r="435" spans="1:10" s="382" customFormat="1" ht="12.75">
      <c r="A435" s="237" t="s">
        <v>85</v>
      </c>
      <c r="B435" s="156" t="s">
        <v>116</v>
      </c>
      <c r="C435" s="159"/>
      <c r="D435" s="158"/>
      <c r="E435" s="158"/>
      <c r="F435" s="185"/>
      <c r="G435" s="280"/>
      <c r="H435" s="283"/>
      <c r="J435" s="391"/>
    </row>
    <row r="436" spans="1:10" s="382" customFormat="1" ht="12.75">
      <c r="A436" s="237" t="s">
        <v>82</v>
      </c>
      <c r="B436" s="156" t="s">
        <v>320</v>
      </c>
      <c r="C436" s="159" t="s">
        <v>76</v>
      </c>
      <c r="D436" s="158">
        <f>D431/2*0.03</f>
        <v>1.3275</v>
      </c>
      <c r="E436" s="158"/>
      <c r="F436" s="185">
        <f t="shared" si="21"/>
        <v>0</v>
      </c>
      <c r="G436" s="280">
        <v>0.8</v>
      </c>
      <c r="H436" s="283">
        <v>1.062</v>
      </c>
      <c r="J436" s="391"/>
    </row>
    <row r="437" spans="1:10" s="382" customFormat="1" ht="12.75">
      <c r="A437" s="237" t="s">
        <v>83</v>
      </c>
      <c r="B437" s="156" t="s">
        <v>84</v>
      </c>
      <c r="C437" s="159" t="s">
        <v>75</v>
      </c>
      <c r="D437" s="158">
        <f>D431*0.5</f>
        <v>44.25</v>
      </c>
      <c r="E437" s="158"/>
      <c r="F437" s="185">
        <f t="shared" si="21"/>
        <v>0</v>
      </c>
      <c r="G437" s="280"/>
      <c r="H437" s="283"/>
      <c r="J437" s="391"/>
    </row>
    <row r="438" spans="1:10" s="382" customFormat="1" ht="12.75">
      <c r="A438" s="237" t="s">
        <v>85</v>
      </c>
      <c r="B438" s="157" t="s">
        <v>134</v>
      </c>
      <c r="C438" s="159" t="s">
        <v>75</v>
      </c>
      <c r="D438" s="173">
        <f>D431</f>
        <v>88.5</v>
      </c>
      <c r="E438" s="158"/>
      <c r="F438" s="185"/>
      <c r="G438" s="280"/>
      <c r="H438" s="283"/>
      <c r="J438" s="391"/>
    </row>
    <row r="439" spans="1:10" s="382" customFormat="1" ht="20.4">
      <c r="A439" s="237" t="s">
        <v>118</v>
      </c>
      <c r="B439" s="156" t="s">
        <v>117</v>
      </c>
      <c r="C439" s="159" t="s">
        <v>75</v>
      </c>
      <c r="D439" s="158">
        <f>D438</f>
        <v>88.5</v>
      </c>
      <c r="E439" s="158"/>
      <c r="F439" s="185">
        <f t="shared" si="21"/>
        <v>0</v>
      </c>
      <c r="G439" s="280"/>
      <c r="H439" s="283"/>
      <c r="J439" s="391"/>
    </row>
    <row r="440" spans="1:10" s="382" customFormat="1" ht="12.75">
      <c r="A440" s="237"/>
      <c r="B440" s="157" t="s">
        <v>407</v>
      </c>
      <c r="C440" s="159" t="s">
        <v>75</v>
      </c>
      <c r="D440" s="432">
        <v>88.5</v>
      </c>
      <c r="E440" s="158"/>
      <c r="F440" s="185">
        <f t="shared" si="21"/>
        <v>0</v>
      </c>
      <c r="G440" s="280"/>
      <c r="H440" s="283"/>
      <c r="J440" s="391"/>
    </row>
    <row r="441" spans="1:10" s="382" customFormat="1" ht="12.75">
      <c r="A441" s="237" t="s">
        <v>86</v>
      </c>
      <c r="B441" s="231" t="s">
        <v>235</v>
      </c>
      <c r="C441" s="159" t="s">
        <v>72</v>
      </c>
      <c r="D441" s="158">
        <v>48</v>
      </c>
      <c r="E441" s="158"/>
      <c r="F441" s="185">
        <f t="shared" si="21"/>
        <v>0</v>
      </c>
      <c r="G441" s="280">
        <v>0.000534</v>
      </c>
      <c r="H441" s="283">
        <v>0.025632</v>
      </c>
      <c r="J441" s="391"/>
    </row>
    <row r="442" spans="1:10" s="382" customFormat="1" ht="12.75">
      <c r="A442" s="237" t="s">
        <v>86</v>
      </c>
      <c r="B442" s="231" t="s">
        <v>236</v>
      </c>
      <c r="C442" s="159" t="s">
        <v>72</v>
      </c>
      <c r="D442" s="158">
        <v>47</v>
      </c>
      <c r="E442" s="158"/>
      <c r="F442" s="185">
        <f t="shared" si="21"/>
        <v>0</v>
      </c>
      <c r="G442" s="280">
        <v>0.000534</v>
      </c>
      <c r="H442" s="283">
        <v>0.025098</v>
      </c>
      <c r="J442" s="391"/>
    </row>
    <row r="443" spans="1:10" s="382" customFormat="1" ht="12.75">
      <c r="A443" s="237" t="s">
        <v>86</v>
      </c>
      <c r="B443" s="231" t="s">
        <v>237</v>
      </c>
      <c r="C443" s="159" t="s">
        <v>72</v>
      </c>
      <c r="D443" s="158">
        <v>25</v>
      </c>
      <c r="E443" s="158"/>
      <c r="F443" s="185">
        <f t="shared" si="21"/>
        <v>0</v>
      </c>
      <c r="G443" s="280">
        <v>0.000534</v>
      </c>
      <c r="H443" s="283">
        <v>0.013349999999999999</v>
      </c>
      <c r="J443" s="391"/>
    </row>
    <row r="444" spans="1:10" s="382" customFormat="1" ht="12.75">
      <c r="A444" s="237" t="s">
        <v>86</v>
      </c>
      <c r="B444" s="231" t="s">
        <v>240</v>
      </c>
      <c r="C444" s="159" t="s">
        <v>72</v>
      </c>
      <c r="D444" s="158">
        <v>12</v>
      </c>
      <c r="E444" s="158"/>
      <c r="F444" s="185">
        <f t="shared" si="21"/>
        <v>0</v>
      </c>
      <c r="G444" s="280">
        <v>0.000534</v>
      </c>
      <c r="H444" s="283">
        <v>0.006408</v>
      </c>
      <c r="J444" s="391"/>
    </row>
    <row r="445" spans="1:10" s="382" customFormat="1" ht="12.75">
      <c r="A445" s="237" t="s">
        <v>86</v>
      </c>
      <c r="B445" s="231" t="s">
        <v>243</v>
      </c>
      <c r="C445" s="159" t="s">
        <v>72</v>
      </c>
      <c r="D445" s="158">
        <v>50</v>
      </c>
      <c r="E445" s="158"/>
      <c r="F445" s="185">
        <f t="shared" si="21"/>
        <v>0</v>
      </c>
      <c r="G445" s="280">
        <v>0.000534</v>
      </c>
      <c r="H445" s="283">
        <v>0.026699999999999998</v>
      </c>
      <c r="J445" s="391"/>
    </row>
    <row r="446" spans="1:10" s="382" customFormat="1" ht="12.75">
      <c r="A446" s="237" t="s">
        <v>86</v>
      </c>
      <c r="B446" s="231" t="s">
        <v>245</v>
      </c>
      <c r="C446" s="159" t="s">
        <v>72</v>
      </c>
      <c r="D446" s="158">
        <v>12</v>
      </c>
      <c r="E446" s="158"/>
      <c r="F446" s="185">
        <f aca="true" t="shared" si="22" ref="F446:F509">E446*D446</f>
        <v>0</v>
      </c>
      <c r="G446" s="280">
        <v>0.000534</v>
      </c>
      <c r="H446" s="283">
        <v>0.006408</v>
      </c>
      <c r="J446" s="391"/>
    </row>
    <row r="447" spans="1:10" s="382" customFormat="1" ht="12.75">
      <c r="A447" s="237" t="s">
        <v>86</v>
      </c>
      <c r="B447" s="231" t="s">
        <v>272</v>
      </c>
      <c r="C447" s="159" t="s">
        <v>72</v>
      </c>
      <c r="D447" s="158">
        <v>73</v>
      </c>
      <c r="E447" s="158"/>
      <c r="F447" s="185">
        <f t="shared" si="22"/>
        <v>0</v>
      </c>
      <c r="G447" s="280">
        <v>0.000534</v>
      </c>
      <c r="H447" s="283">
        <v>0.038981999999999996</v>
      </c>
      <c r="J447" s="391"/>
    </row>
    <row r="448" spans="1:10" s="382" customFormat="1" ht="12.75">
      <c r="A448" s="237" t="s">
        <v>86</v>
      </c>
      <c r="B448" s="231" t="s">
        <v>273</v>
      </c>
      <c r="C448" s="159" t="s">
        <v>72</v>
      </c>
      <c r="D448" s="158">
        <v>96</v>
      </c>
      <c r="E448" s="158"/>
      <c r="F448" s="185">
        <f t="shared" si="22"/>
        <v>0</v>
      </c>
      <c r="G448" s="280">
        <v>0.000534</v>
      </c>
      <c r="H448" s="283">
        <v>0.051264</v>
      </c>
      <c r="J448" s="391"/>
    </row>
    <row r="449" spans="1:10" s="382" customFormat="1" ht="12.75">
      <c r="A449" s="237" t="s">
        <v>86</v>
      </c>
      <c r="B449" s="160" t="s">
        <v>422</v>
      </c>
      <c r="C449" s="159" t="s">
        <v>72</v>
      </c>
      <c r="D449" s="158">
        <v>95</v>
      </c>
      <c r="E449" s="158"/>
      <c r="F449" s="185">
        <f t="shared" si="22"/>
        <v>0</v>
      </c>
      <c r="G449" s="280">
        <v>0.000534</v>
      </c>
      <c r="H449" s="283">
        <v>0.05073</v>
      </c>
      <c r="J449" s="391"/>
    </row>
    <row r="450" spans="1:10" s="382" customFormat="1" ht="12.75">
      <c r="A450" s="237" t="s">
        <v>86</v>
      </c>
      <c r="B450" s="160" t="s">
        <v>423</v>
      </c>
      <c r="C450" s="159" t="s">
        <v>72</v>
      </c>
      <c r="D450" s="158">
        <v>48</v>
      </c>
      <c r="E450" s="158"/>
      <c r="F450" s="185">
        <f t="shared" si="22"/>
        <v>0</v>
      </c>
      <c r="G450" s="280">
        <v>0.000534</v>
      </c>
      <c r="H450" s="283">
        <v>0.025632</v>
      </c>
      <c r="J450" s="391"/>
    </row>
    <row r="451" spans="1:10" s="382" customFormat="1" ht="12.75">
      <c r="A451" s="237" t="s">
        <v>86</v>
      </c>
      <c r="B451" s="231" t="s">
        <v>275</v>
      </c>
      <c r="C451" s="159" t="s">
        <v>72</v>
      </c>
      <c r="D451" s="158">
        <v>25</v>
      </c>
      <c r="E451" s="158"/>
      <c r="F451" s="185">
        <f t="shared" si="22"/>
        <v>0</v>
      </c>
      <c r="G451" s="280">
        <v>0.000534</v>
      </c>
      <c r="H451" s="283">
        <v>0.013349999999999999</v>
      </c>
      <c r="J451" s="391"/>
    </row>
    <row r="452" spans="1:10" s="382" customFormat="1" ht="12.75">
      <c r="A452" s="237" t="s">
        <v>86</v>
      </c>
      <c r="B452" s="231" t="s">
        <v>276</v>
      </c>
      <c r="C452" s="159" t="s">
        <v>72</v>
      </c>
      <c r="D452" s="158">
        <v>24</v>
      </c>
      <c r="E452" s="158"/>
      <c r="F452" s="185">
        <f t="shared" si="22"/>
        <v>0</v>
      </c>
      <c r="G452" s="280">
        <v>0.000534</v>
      </c>
      <c r="H452" s="283">
        <v>0.012816</v>
      </c>
      <c r="J452" s="391"/>
    </row>
    <row r="453" spans="1:10" s="382" customFormat="1" ht="12.75">
      <c r="A453" s="237" t="s">
        <v>86</v>
      </c>
      <c r="B453" s="231" t="s">
        <v>277</v>
      </c>
      <c r="C453" s="159" t="s">
        <v>72</v>
      </c>
      <c r="D453" s="158">
        <v>24</v>
      </c>
      <c r="E453" s="158"/>
      <c r="F453" s="185">
        <f t="shared" si="22"/>
        <v>0</v>
      </c>
      <c r="G453" s="280">
        <v>0.000534</v>
      </c>
      <c r="H453" s="283">
        <v>0.012816</v>
      </c>
      <c r="J453" s="391"/>
    </row>
    <row r="454" spans="1:10" s="382" customFormat="1" ht="12.75">
      <c r="A454" s="237"/>
      <c r="B454" s="231"/>
      <c r="C454" s="159" t="s">
        <v>72</v>
      </c>
      <c r="D454" s="432">
        <f>SUM(D441:D453)</f>
        <v>579</v>
      </c>
      <c r="E454" s="158"/>
      <c r="F454" s="185"/>
      <c r="G454" s="280"/>
      <c r="H454" s="283"/>
      <c r="J454" s="391"/>
    </row>
    <row r="455" spans="1:10" s="382" customFormat="1" ht="12.75">
      <c r="A455" s="237"/>
      <c r="B455" s="157" t="s">
        <v>318</v>
      </c>
      <c r="C455" s="159"/>
      <c r="D455" s="431"/>
      <c r="E455" s="158"/>
      <c r="F455" s="185"/>
      <c r="G455" s="280"/>
      <c r="H455" s="283"/>
      <c r="J455" s="391"/>
    </row>
    <row r="456" spans="1:10" s="382" customFormat="1" ht="12.75">
      <c r="A456" s="237" t="s">
        <v>86</v>
      </c>
      <c r="B456" s="231" t="s">
        <v>217</v>
      </c>
      <c r="C456" s="159" t="s">
        <v>72</v>
      </c>
      <c r="D456" s="158">
        <v>2655</v>
      </c>
      <c r="E456" s="158"/>
      <c r="F456" s="185">
        <f t="shared" si="22"/>
        <v>0</v>
      </c>
      <c r="G456" s="280"/>
      <c r="H456" s="283"/>
      <c r="J456" s="391"/>
    </row>
    <row r="457" spans="1:10" s="382" customFormat="1" ht="12.75">
      <c r="A457" s="237" t="s">
        <v>86</v>
      </c>
      <c r="B457" s="231" t="s">
        <v>278</v>
      </c>
      <c r="C457" s="159" t="s">
        <v>72</v>
      </c>
      <c r="D457" s="158">
        <v>1327</v>
      </c>
      <c r="E457" s="158"/>
      <c r="F457" s="185">
        <f t="shared" si="22"/>
        <v>0</v>
      </c>
      <c r="G457" s="280"/>
      <c r="H457" s="283"/>
      <c r="J457" s="391"/>
    </row>
    <row r="458" spans="1:10" s="382" customFormat="1" ht="12.75">
      <c r="A458" s="237"/>
      <c r="B458" s="231"/>
      <c r="C458" s="159" t="s">
        <v>72</v>
      </c>
      <c r="D458" s="432">
        <f>SUM(D456:D457)</f>
        <v>3982</v>
      </c>
      <c r="E458" s="158"/>
      <c r="F458" s="185"/>
      <c r="G458" s="280"/>
      <c r="H458" s="283"/>
      <c r="J458" s="391"/>
    </row>
    <row r="459" spans="1:10" s="382" customFormat="1" ht="12.75">
      <c r="A459" s="237"/>
      <c r="B459" s="157" t="s">
        <v>160</v>
      </c>
      <c r="C459" s="159"/>
      <c r="D459" s="431"/>
      <c r="E459" s="158"/>
      <c r="F459" s="185"/>
      <c r="G459" s="280"/>
      <c r="H459" s="283"/>
      <c r="J459" s="391"/>
    </row>
    <row r="460" spans="1:10" s="382" customFormat="1" ht="12.75">
      <c r="A460" s="237" t="s">
        <v>86</v>
      </c>
      <c r="B460" s="231" t="s">
        <v>114</v>
      </c>
      <c r="C460" s="159" t="s">
        <v>72</v>
      </c>
      <c r="D460" s="432">
        <v>1</v>
      </c>
      <c r="E460" s="158"/>
      <c r="F460" s="185">
        <f t="shared" si="22"/>
        <v>0</v>
      </c>
      <c r="G460" s="280">
        <v>0.003</v>
      </c>
      <c r="H460" s="283">
        <v>0.003</v>
      </c>
      <c r="J460" s="391"/>
    </row>
    <row r="461" spans="1:10" s="382" customFormat="1" ht="12.75">
      <c r="A461" s="237"/>
      <c r="B461" s="157"/>
      <c r="C461" s="159"/>
      <c r="D461" s="431"/>
      <c r="E461" s="158"/>
      <c r="F461" s="185"/>
      <c r="G461" s="280"/>
      <c r="H461" s="283"/>
      <c r="J461" s="391"/>
    </row>
    <row r="462" spans="1:10" s="382" customFormat="1" ht="12.75">
      <c r="A462" s="237" t="s">
        <v>86</v>
      </c>
      <c r="B462" s="156" t="s">
        <v>408</v>
      </c>
      <c r="C462" s="159" t="s">
        <v>76</v>
      </c>
      <c r="D462" s="158">
        <f>11*1.05</f>
        <v>11.55</v>
      </c>
      <c r="E462" s="158"/>
      <c r="F462" s="185">
        <f t="shared" si="22"/>
        <v>0</v>
      </c>
      <c r="G462" s="280">
        <v>1.5</v>
      </c>
      <c r="H462" s="283">
        <v>17.325000000000003</v>
      </c>
      <c r="J462" s="391"/>
    </row>
    <row r="463" spans="1:10" s="382" customFormat="1" ht="12.75">
      <c r="A463" s="237" t="s">
        <v>85</v>
      </c>
      <c r="B463" s="156" t="s">
        <v>409</v>
      </c>
      <c r="C463" s="159" t="s">
        <v>76</v>
      </c>
      <c r="D463" s="158">
        <f>D440*0.05*1.05</f>
        <v>4.64625</v>
      </c>
      <c r="E463" s="158"/>
      <c r="F463" s="185"/>
      <c r="G463" s="280"/>
      <c r="H463" s="283"/>
      <c r="J463" s="391"/>
    </row>
    <row r="464" spans="1:10" s="382" customFormat="1" ht="12.75">
      <c r="A464" s="237" t="s">
        <v>86</v>
      </c>
      <c r="B464" s="156" t="s">
        <v>357</v>
      </c>
      <c r="C464" s="159" t="s">
        <v>72</v>
      </c>
      <c r="D464" s="158">
        <f>D454+(D460*3)</f>
        <v>582</v>
      </c>
      <c r="E464" s="158"/>
      <c r="F464" s="185">
        <f t="shared" si="22"/>
        <v>0</v>
      </c>
      <c r="G464" s="280"/>
      <c r="H464" s="283"/>
      <c r="J464" s="391"/>
    </row>
    <row r="465" spans="1:10" s="382" customFormat="1" ht="12.75">
      <c r="A465" s="237" t="s">
        <v>412</v>
      </c>
      <c r="B465" s="156" t="s">
        <v>413</v>
      </c>
      <c r="C465" s="159" t="s">
        <v>76</v>
      </c>
      <c r="D465" s="158">
        <f>D440*0.08</f>
        <v>7.08</v>
      </c>
      <c r="E465" s="158"/>
      <c r="F465" s="185">
        <f t="shared" si="22"/>
        <v>0</v>
      </c>
      <c r="G465" s="280"/>
      <c r="H465" s="283"/>
      <c r="J465" s="391"/>
    </row>
    <row r="466" spans="1:10" s="382" customFormat="1" ht="12.75">
      <c r="A466" s="237" t="s">
        <v>87</v>
      </c>
      <c r="B466" s="156" t="s">
        <v>88</v>
      </c>
      <c r="C466" s="159" t="s">
        <v>76</v>
      </c>
      <c r="D466" s="158">
        <f>D465</f>
        <v>7.08</v>
      </c>
      <c r="E466" s="158"/>
      <c r="F466" s="185">
        <f t="shared" si="22"/>
        <v>0</v>
      </c>
      <c r="G466" s="280"/>
      <c r="H466" s="283"/>
      <c r="J466" s="391"/>
    </row>
    <row r="467" spans="1:10" s="382" customFormat="1" ht="12.75">
      <c r="A467" s="237" t="s">
        <v>89</v>
      </c>
      <c r="B467" s="156" t="s">
        <v>90</v>
      </c>
      <c r="C467" s="159" t="s">
        <v>76</v>
      </c>
      <c r="D467" s="158">
        <f>D465</f>
        <v>7.08</v>
      </c>
      <c r="E467" s="158"/>
      <c r="F467" s="185">
        <f t="shared" si="22"/>
        <v>0</v>
      </c>
      <c r="G467" s="280"/>
      <c r="H467" s="283"/>
      <c r="J467" s="391"/>
    </row>
    <row r="468" spans="1:10" s="382" customFormat="1" ht="12.75">
      <c r="A468" s="237" t="s">
        <v>79</v>
      </c>
      <c r="B468" s="156" t="s">
        <v>414</v>
      </c>
      <c r="C468" s="159" t="s">
        <v>76</v>
      </c>
      <c r="D468" s="158">
        <f>D467</f>
        <v>7.08</v>
      </c>
      <c r="E468" s="158"/>
      <c r="F468" s="185">
        <f t="shared" si="22"/>
        <v>0</v>
      </c>
      <c r="G468" s="280"/>
      <c r="H468" s="283"/>
      <c r="J468" s="391"/>
    </row>
    <row r="469" spans="1:10" s="382" customFormat="1" ht="12.75">
      <c r="A469" s="237" t="s">
        <v>79</v>
      </c>
      <c r="B469" s="156" t="s">
        <v>145</v>
      </c>
      <c r="C469" s="159" t="s">
        <v>75</v>
      </c>
      <c r="D469" s="158">
        <f>D440</f>
        <v>88.5</v>
      </c>
      <c r="E469" s="158"/>
      <c r="F469" s="185">
        <f t="shared" si="22"/>
        <v>0</v>
      </c>
      <c r="G469" s="280"/>
      <c r="H469" s="283"/>
      <c r="J469" s="391"/>
    </row>
    <row r="470" spans="1:10" s="382" customFormat="1" ht="12.75">
      <c r="A470" s="237" t="s">
        <v>85</v>
      </c>
      <c r="B470" s="156" t="s">
        <v>131</v>
      </c>
      <c r="C470" s="159" t="s">
        <v>76</v>
      </c>
      <c r="D470" s="158">
        <f>D462</f>
        <v>11.55</v>
      </c>
      <c r="E470" s="158"/>
      <c r="F470" s="185">
        <f t="shared" si="22"/>
        <v>0</v>
      </c>
      <c r="G470" s="280"/>
      <c r="H470" s="283"/>
      <c r="J470" s="391"/>
    </row>
    <row r="471" spans="1:10" s="382" customFormat="1" ht="12.75">
      <c r="A471" s="237" t="s">
        <v>87</v>
      </c>
      <c r="B471" s="156" t="s">
        <v>88</v>
      </c>
      <c r="C471" s="159" t="s">
        <v>76</v>
      </c>
      <c r="D471" s="158">
        <f>D470</f>
        <v>11.55</v>
      </c>
      <c r="E471" s="158"/>
      <c r="F471" s="185">
        <f t="shared" si="22"/>
        <v>0</v>
      </c>
      <c r="G471" s="280"/>
      <c r="H471" s="283"/>
      <c r="J471" s="391"/>
    </row>
    <row r="472" spans="1:10" s="382" customFormat="1" ht="12.75">
      <c r="A472" s="237" t="s">
        <v>89</v>
      </c>
      <c r="B472" s="156" t="s">
        <v>90</v>
      </c>
      <c r="C472" s="159" t="s">
        <v>76</v>
      </c>
      <c r="D472" s="158">
        <f>D470</f>
        <v>11.55</v>
      </c>
      <c r="E472" s="158"/>
      <c r="F472" s="185">
        <f t="shared" si="22"/>
        <v>0</v>
      </c>
      <c r="G472" s="280"/>
      <c r="H472" s="283"/>
      <c r="J472" s="391"/>
    </row>
    <row r="473" spans="1:10" s="382" customFormat="1" ht="12.75">
      <c r="A473" s="237" t="s">
        <v>139</v>
      </c>
      <c r="B473" s="156" t="s">
        <v>198</v>
      </c>
      <c r="C473" s="159" t="s">
        <v>75</v>
      </c>
      <c r="D473" s="158">
        <f>D469</f>
        <v>88.5</v>
      </c>
      <c r="E473" s="158"/>
      <c r="F473" s="185">
        <f t="shared" si="22"/>
        <v>0</v>
      </c>
      <c r="G473" s="280"/>
      <c r="H473" s="283"/>
      <c r="J473" s="391"/>
    </row>
    <row r="474" spans="1:10" s="382" customFormat="1" ht="12.75">
      <c r="A474" s="237" t="s">
        <v>91</v>
      </c>
      <c r="B474" s="156" t="s">
        <v>125</v>
      </c>
      <c r="C474" s="159" t="s">
        <v>75</v>
      </c>
      <c r="D474" s="158">
        <f>D469*2</f>
        <v>177</v>
      </c>
      <c r="E474" s="158"/>
      <c r="F474" s="185">
        <f t="shared" si="22"/>
        <v>0</v>
      </c>
      <c r="G474" s="280"/>
      <c r="H474" s="283"/>
      <c r="J474" s="391"/>
    </row>
    <row r="475" spans="1:10" s="382" customFormat="1" ht="12.75">
      <c r="A475" s="237" t="s">
        <v>92</v>
      </c>
      <c r="B475" s="156" t="s">
        <v>294</v>
      </c>
      <c r="C475" s="159" t="s">
        <v>75</v>
      </c>
      <c r="D475" s="158">
        <f>D469*2</f>
        <v>177</v>
      </c>
      <c r="E475" s="158"/>
      <c r="F475" s="185">
        <f t="shared" si="22"/>
        <v>0</v>
      </c>
      <c r="G475" s="280"/>
      <c r="H475" s="283"/>
      <c r="J475" s="391"/>
    </row>
    <row r="476" spans="1:10" s="382" customFormat="1" ht="12.75">
      <c r="A476" s="237" t="s">
        <v>201</v>
      </c>
      <c r="B476" s="156" t="s">
        <v>140</v>
      </c>
      <c r="C476" s="159" t="s">
        <v>72</v>
      </c>
      <c r="D476" s="158">
        <f>D454</f>
        <v>579</v>
      </c>
      <c r="E476" s="158"/>
      <c r="F476" s="185">
        <f t="shared" si="22"/>
        <v>0</v>
      </c>
      <c r="G476" s="280"/>
      <c r="H476" s="283"/>
      <c r="J476" s="391"/>
    </row>
    <row r="477" spans="1:10" s="382" customFormat="1" ht="20.4">
      <c r="A477" s="237" t="s">
        <v>199</v>
      </c>
      <c r="B477" s="156" t="s">
        <v>200</v>
      </c>
      <c r="C477" s="159" t="s">
        <v>72</v>
      </c>
      <c r="D477" s="158">
        <f>D454</f>
        <v>579</v>
      </c>
      <c r="E477" s="158"/>
      <c r="F477" s="185">
        <f t="shared" si="22"/>
        <v>0</v>
      </c>
      <c r="G477" s="280"/>
      <c r="H477" s="283"/>
      <c r="J477" s="391"/>
    </row>
    <row r="478" spans="1:10" s="382" customFormat="1" ht="12.75">
      <c r="A478" s="237" t="s">
        <v>201</v>
      </c>
      <c r="B478" s="156" t="s">
        <v>140</v>
      </c>
      <c r="C478" s="159" t="s">
        <v>72</v>
      </c>
      <c r="D478" s="158">
        <f>D458</f>
        <v>3982</v>
      </c>
      <c r="E478" s="158"/>
      <c r="F478" s="185">
        <f t="shared" si="22"/>
        <v>0</v>
      </c>
      <c r="G478" s="280"/>
      <c r="H478" s="283"/>
      <c r="J478" s="391"/>
    </row>
    <row r="479" spans="1:10" s="382" customFormat="1" ht="12.75">
      <c r="A479" s="237" t="s">
        <v>295</v>
      </c>
      <c r="B479" s="156" t="s">
        <v>296</v>
      </c>
      <c r="C479" s="159" t="s">
        <v>72</v>
      </c>
      <c r="D479" s="158">
        <f>D478</f>
        <v>3982</v>
      </c>
      <c r="E479" s="158"/>
      <c r="F479" s="185">
        <f t="shared" si="22"/>
        <v>0</v>
      </c>
      <c r="G479" s="280"/>
      <c r="H479" s="283"/>
      <c r="J479" s="391"/>
    </row>
    <row r="480" spans="1:10" s="382" customFormat="1" ht="12.75">
      <c r="A480" s="237" t="s">
        <v>93</v>
      </c>
      <c r="B480" s="156" t="s">
        <v>94</v>
      </c>
      <c r="C480" s="159" t="s">
        <v>72</v>
      </c>
      <c r="D480" s="158">
        <f>D460</f>
        <v>1</v>
      </c>
      <c r="E480" s="158"/>
      <c r="F480" s="185">
        <f t="shared" si="22"/>
        <v>0</v>
      </c>
      <c r="G480" s="280"/>
      <c r="H480" s="283"/>
      <c r="J480" s="391"/>
    </row>
    <row r="481" spans="1:10" s="382" customFormat="1" ht="20.4">
      <c r="A481" s="237" t="s">
        <v>120</v>
      </c>
      <c r="B481" s="156" t="s">
        <v>122</v>
      </c>
      <c r="C481" s="159" t="s">
        <v>72</v>
      </c>
      <c r="D481" s="158">
        <f>D480</f>
        <v>1</v>
      </c>
      <c r="E481" s="158"/>
      <c r="F481" s="185">
        <f t="shared" si="22"/>
        <v>0</v>
      </c>
      <c r="G481" s="280"/>
      <c r="H481" s="283"/>
      <c r="J481" s="391"/>
    </row>
    <row r="482" spans="1:10" s="382" customFormat="1" ht="12.75">
      <c r="A482" s="237" t="s">
        <v>95</v>
      </c>
      <c r="B482" s="156" t="s">
        <v>124</v>
      </c>
      <c r="C482" s="159" t="s">
        <v>77</v>
      </c>
      <c r="D482" s="158">
        <f>(D464/100000)</f>
        <v>0.00582</v>
      </c>
      <c r="E482" s="158"/>
      <c r="F482" s="185">
        <f t="shared" si="22"/>
        <v>0</v>
      </c>
      <c r="G482" s="280"/>
      <c r="H482" s="283"/>
      <c r="J482" s="391"/>
    </row>
    <row r="483" spans="1:10" s="382" customFormat="1" ht="12.75">
      <c r="A483" s="237" t="s">
        <v>415</v>
      </c>
      <c r="B483" s="156" t="s">
        <v>416</v>
      </c>
      <c r="C483" s="159" t="s">
        <v>75</v>
      </c>
      <c r="D483" s="158">
        <f>D473</f>
        <v>88.5</v>
      </c>
      <c r="E483" s="158"/>
      <c r="F483" s="185">
        <f t="shared" si="22"/>
        <v>0</v>
      </c>
      <c r="G483" s="280"/>
      <c r="H483" s="283"/>
      <c r="J483" s="391"/>
    </row>
    <row r="484" spans="1:10" s="382" customFormat="1" ht="12.75">
      <c r="A484" s="237" t="s">
        <v>98</v>
      </c>
      <c r="B484" s="156" t="s">
        <v>99</v>
      </c>
      <c r="C484" s="159" t="s">
        <v>76</v>
      </c>
      <c r="D484" s="158">
        <f>D440*0.02</f>
        <v>1.77</v>
      </c>
      <c r="E484" s="158"/>
      <c r="F484" s="185">
        <f t="shared" si="22"/>
        <v>0</v>
      </c>
      <c r="G484" s="280"/>
      <c r="H484" s="283"/>
      <c r="J484" s="391"/>
    </row>
    <row r="485" spans="1:10" s="382" customFormat="1" ht="12.75">
      <c r="A485" s="237" t="s">
        <v>376</v>
      </c>
      <c r="B485" s="156" t="s">
        <v>101</v>
      </c>
      <c r="C485" s="159" t="s">
        <v>77</v>
      </c>
      <c r="D485" s="158">
        <f>H485</f>
        <v>18.699186000000005</v>
      </c>
      <c r="E485" s="158"/>
      <c r="F485" s="185">
        <f t="shared" si="22"/>
        <v>0</v>
      </c>
      <c r="G485" s="280"/>
      <c r="H485" s="284">
        <v>18.699186000000005</v>
      </c>
      <c r="J485" s="391"/>
    </row>
    <row r="486" spans="1:10" s="382" customFormat="1" ht="13.8" thickBot="1">
      <c r="A486" s="240"/>
      <c r="B486" s="200"/>
      <c r="C486" s="201"/>
      <c r="D486" s="202"/>
      <c r="E486" s="202"/>
      <c r="F486" s="203"/>
      <c r="G486" s="292"/>
      <c r="H486" s="307"/>
      <c r="J486" s="391"/>
    </row>
    <row r="487" spans="1:10" s="382" customFormat="1" ht="13.8" thickBot="1">
      <c r="A487" s="302"/>
      <c r="B487" s="206" t="s">
        <v>419</v>
      </c>
      <c r="C487" s="207" t="s">
        <v>75</v>
      </c>
      <c r="D487" s="427">
        <v>29.7</v>
      </c>
      <c r="E487" s="194"/>
      <c r="F487" s="195">
        <f t="shared" si="22"/>
        <v>0</v>
      </c>
      <c r="G487" s="294"/>
      <c r="H487" s="306"/>
      <c r="I487" s="329">
        <f>SUM(F488:F546)</f>
        <v>0</v>
      </c>
      <c r="J487" s="391"/>
    </row>
    <row r="488" spans="1:10" s="382" customFormat="1" ht="12.75">
      <c r="A488" s="241"/>
      <c r="B488" s="209" t="s">
        <v>115</v>
      </c>
      <c r="C488" s="205" t="s">
        <v>75</v>
      </c>
      <c r="D488" s="428">
        <f>D487</f>
        <v>29.7</v>
      </c>
      <c r="E488" s="189"/>
      <c r="F488" s="190"/>
      <c r="G488" s="293"/>
      <c r="H488" s="305"/>
      <c r="J488" s="391"/>
    </row>
    <row r="489" spans="1:10" s="382" customFormat="1" ht="20.4">
      <c r="A489" s="237" t="s">
        <v>79</v>
      </c>
      <c r="B489" s="156" t="s">
        <v>151</v>
      </c>
      <c r="C489" s="159" t="s">
        <v>75</v>
      </c>
      <c r="D489" s="158">
        <f>D488</f>
        <v>29.7</v>
      </c>
      <c r="E489" s="158"/>
      <c r="F489" s="185">
        <f t="shared" si="22"/>
        <v>0</v>
      </c>
      <c r="G489" s="280"/>
      <c r="H489" s="283"/>
      <c r="J489" s="399" t="s">
        <v>481</v>
      </c>
    </row>
    <row r="490" spans="1:10" s="382" customFormat="1" ht="12.75">
      <c r="A490" s="237" t="s">
        <v>138</v>
      </c>
      <c r="B490" s="156" t="s">
        <v>300</v>
      </c>
      <c r="C490" s="159" t="s">
        <v>75</v>
      </c>
      <c r="D490" s="158">
        <f>(D488/3)*2*2</f>
        <v>39.6</v>
      </c>
      <c r="E490" s="158"/>
      <c r="F490" s="185">
        <f t="shared" si="22"/>
        <v>0</v>
      </c>
      <c r="G490" s="280"/>
      <c r="H490" s="283"/>
      <c r="J490" s="391"/>
    </row>
    <row r="491" spans="1:10" s="382" customFormat="1" ht="12.75">
      <c r="A491" s="237" t="s">
        <v>86</v>
      </c>
      <c r="B491" s="156" t="s">
        <v>119</v>
      </c>
      <c r="C491" s="159" t="s">
        <v>106</v>
      </c>
      <c r="D491" s="158">
        <f>(D490/100)*0.2</f>
        <v>0.0792</v>
      </c>
      <c r="E491" s="158"/>
      <c r="F491" s="185">
        <f t="shared" si="22"/>
        <v>0</v>
      </c>
      <c r="G491" s="280"/>
      <c r="H491" s="283"/>
      <c r="J491" s="391"/>
    </row>
    <row r="492" spans="1:10" s="382" customFormat="1" ht="12.75">
      <c r="A492" s="237" t="s">
        <v>85</v>
      </c>
      <c r="B492" s="156" t="s">
        <v>116</v>
      </c>
      <c r="C492" s="159"/>
      <c r="D492" s="158"/>
      <c r="E492" s="158"/>
      <c r="F492" s="185"/>
      <c r="G492" s="280"/>
      <c r="H492" s="283"/>
      <c r="J492" s="391"/>
    </row>
    <row r="493" spans="1:10" s="382" customFormat="1" ht="12.75">
      <c r="A493" s="237" t="s">
        <v>82</v>
      </c>
      <c r="B493" s="156" t="s">
        <v>320</v>
      </c>
      <c r="C493" s="159" t="s">
        <v>76</v>
      </c>
      <c r="D493" s="158">
        <f>D488/2*0.03</f>
        <v>0.44549999999999995</v>
      </c>
      <c r="E493" s="158"/>
      <c r="F493" s="185">
        <f t="shared" si="22"/>
        <v>0</v>
      </c>
      <c r="G493" s="280">
        <v>0.8</v>
      </c>
      <c r="H493" s="283">
        <v>0.3564</v>
      </c>
      <c r="J493" s="391"/>
    </row>
    <row r="494" spans="1:10" s="382" customFormat="1" ht="12.75">
      <c r="A494" s="237" t="s">
        <v>83</v>
      </c>
      <c r="B494" s="156" t="s">
        <v>84</v>
      </c>
      <c r="C494" s="159" t="s">
        <v>75</v>
      </c>
      <c r="D494" s="158">
        <f>D488*0.5</f>
        <v>14.85</v>
      </c>
      <c r="E494" s="158"/>
      <c r="F494" s="185">
        <f t="shared" si="22"/>
        <v>0</v>
      </c>
      <c r="G494" s="280"/>
      <c r="H494" s="283"/>
      <c r="J494" s="391"/>
    </row>
    <row r="495" spans="1:10" s="382" customFormat="1" ht="12.75">
      <c r="A495" s="237" t="s">
        <v>85</v>
      </c>
      <c r="B495" s="157" t="s">
        <v>134</v>
      </c>
      <c r="C495" s="159" t="s">
        <v>75</v>
      </c>
      <c r="D495" s="173">
        <f>D488</f>
        <v>29.7</v>
      </c>
      <c r="E495" s="158"/>
      <c r="F495" s="185"/>
      <c r="G495" s="280"/>
      <c r="H495" s="283"/>
      <c r="J495" s="391"/>
    </row>
    <row r="496" spans="1:10" s="382" customFormat="1" ht="20.4">
      <c r="A496" s="237" t="s">
        <v>118</v>
      </c>
      <c r="B496" s="156" t="s">
        <v>117</v>
      </c>
      <c r="C496" s="159" t="s">
        <v>75</v>
      </c>
      <c r="D496" s="158">
        <f>D495</f>
        <v>29.7</v>
      </c>
      <c r="E496" s="158"/>
      <c r="F496" s="185">
        <f t="shared" si="22"/>
        <v>0</v>
      </c>
      <c r="G496" s="280"/>
      <c r="H496" s="283"/>
      <c r="J496" s="391"/>
    </row>
    <row r="497" spans="1:10" s="382" customFormat="1" ht="12.75">
      <c r="A497" s="237"/>
      <c r="B497" s="157" t="s">
        <v>160</v>
      </c>
      <c r="C497" s="159"/>
      <c r="D497" s="158"/>
      <c r="E497" s="158"/>
      <c r="F497" s="185"/>
      <c r="G497" s="280"/>
      <c r="H497" s="283"/>
      <c r="J497" s="391"/>
    </row>
    <row r="498" spans="1:10" s="382" customFormat="1" ht="12.75">
      <c r="A498" s="237" t="s">
        <v>86</v>
      </c>
      <c r="B498" s="231" t="s">
        <v>230</v>
      </c>
      <c r="C498" s="389" t="s">
        <v>72</v>
      </c>
      <c r="D498" s="431">
        <v>1</v>
      </c>
      <c r="E498" s="433"/>
      <c r="F498" s="185">
        <f t="shared" si="22"/>
        <v>0</v>
      </c>
      <c r="G498" s="280">
        <v>0.003</v>
      </c>
      <c r="H498" s="283">
        <v>0.003</v>
      </c>
      <c r="J498" s="391"/>
    </row>
    <row r="499" spans="1:10" s="382" customFormat="1" ht="12.75">
      <c r="A499" s="237"/>
      <c r="B499" s="156"/>
      <c r="C499" s="159"/>
      <c r="D499" s="173">
        <f>SUM(D498:D498)</f>
        <v>1</v>
      </c>
      <c r="E499" s="158"/>
      <c r="F499" s="185"/>
      <c r="G499" s="280"/>
      <c r="H499" s="283"/>
      <c r="J499" s="391"/>
    </row>
    <row r="500" spans="1:10" s="382" customFormat="1" ht="12.75">
      <c r="A500" s="237"/>
      <c r="B500" s="157" t="s">
        <v>159</v>
      </c>
      <c r="C500" s="159"/>
      <c r="D500" s="158"/>
      <c r="E500" s="158"/>
      <c r="F500" s="185"/>
      <c r="G500" s="280"/>
      <c r="H500" s="283"/>
      <c r="J500" s="391"/>
    </row>
    <row r="501" spans="1:10" s="382" customFormat="1" ht="12.75">
      <c r="A501" s="237" t="s">
        <v>86</v>
      </c>
      <c r="B501" s="231" t="s">
        <v>239</v>
      </c>
      <c r="C501" s="389" t="s">
        <v>72</v>
      </c>
      <c r="D501" s="431">
        <v>12</v>
      </c>
      <c r="E501" s="433"/>
      <c r="F501" s="185">
        <f t="shared" si="22"/>
        <v>0</v>
      </c>
      <c r="G501" s="280">
        <v>0.0005</v>
      </c>
      <c r="H501" s="283">
        <v>0.006</v>
      </c>
      <c r="J501" s="391"/>
    </row>
    <row r="502" spans="1:10" s="382" customFormat="1" ht="12.75">
      <c r="A502" s="237" t="s">
        <v>86</v>
      </c>
      <c r="B502" s="231" t="s">
        <v>244</v>
      </c>
      <c r="C502" s="389" t="s">
        <v>72</v>
      </c>
      <c r="D502" s="431">
        <v>16</v>
      </c>
      <c r="E502" s="433"/>
      <c r="F502" s="185">
        <f t="shared" si="22"/>
        <v>0</v>
      </c>
      <c r="G502" s="280">
        <v>0.0005</v>
      </c>
      <c r="H502" s="283">
        <v>0.008</v>
      </c>
      <c r="J502" s="391"/>
    </row>
    <row r="503" spans="1:10" s="382" customFormat="1" ht="12.75">
      <c r="A503" s="237" t="s">
        <v>86</v>
      </c>
      <c r="B503" s="231" t="s">
        <v>210</v>
      </c>
      <c r="C503" s="389" t="s">
        <v>72</v>
      </c>
      <c r="D503" s="431">
        <v>12</v>
      </c>
      <c r="E503" s="433"/>
      <c r="F503" s="185">
        <f t="shared" si="22"/>
        <v>0</v>
      </c>
      <c r="G503" s="280">
        <v>0.0005</v>
      </c>
      <c r="H503" s="283">
        <v>0.006</v>
      </c>
      <c r="J503" s="391"/>
    </row>
    <row r="504" spans="1:10" s="382" customFormat="1" ht="12.75">
      <c r="A504" s="237" t="s">
        <v>86</v>
      </c>
      <c r="B504" s="231" t="s">
        <v>252</v>
      </c>
      <c r="C504" s="389" t="s">
        <v>72</v>
      </c>
      <c r="D504" s="431">
        <v>18</v>
      </c>
      <c r="E504" s="433"/>
      <c r="F504" s="185">
        <f t="shared" si="22"/>
        <v>0</v>
      </c>
      <c r="G504" s="280">
        <v>0.0005</v>
      </c>
      <c r="H504" s="283">
        <v>0.009000000000000001</v>
      </c>
      <c r="J504" s="391"/>
    </row>
    <row r="505" spans="1:10" s="382" customFormat="1" ht="12.75">
      <c r="A505" s="237" t="s">
        <v>86</v>
      </c>
      <c r="B505" s="231" t="s">
        <v>253</v>
      </c>
      <c r="C505" s="389" t="s">
        <v>72</v>
      </c>
      <c r="D505" s="431">
        <v>18</v>
      </c>
      <c r="E505" s="433"/>
      <c r="F505" s="185">
        <f t="shared" si="22"/>
        <v>0</v>
      </c>
      <c r="G505" s="280">
        <v>0.0005</v>
      </c>
      <c r="H505" s="283">
        <v>0.009000000000000001</v>
      </c>
      <c r="J505" s="391"/>
    </row>
    <row r="506" spans="1:10" s="382" customFormat="1" ht="12.75">
      <c r="A506" s="237" t="s">
        <v>86</v>
      </c>
      <c r="B506" s="231" t="s">
        <v>255</v>
      </c>
      <c r="C506" s="389" t="s">
        <v>72</v>
      </c>
      <c r="D506" s="431">
        <v>17</v>
      </c>
      <c r="E506" s="433"/>
      <c r="F506" s="185">
        <f t="shared" si="22"/>
        <v>0</v>
      </c>
      <c r="G506" s="280">
        <v>0.0005</v>
      </c>
      <c r="H506" s="283">
        <v>0.0085</v>
      </c>
      <c r="J506" s="391"/>
    </row>
    <row r="507" spans="1:10" s="382" customFormat="1" ht="12.75">
      <c r="A507" s="237" t="s">
        <v>86</v>
      </c>
      <c r="B507" s="231" t="s">
        <v>257</v>
      </c>
      <c r="C507" s="389" t="s">
        <v>72</v>
      </c>
      <c r="D507" s="431">
        <v>18</v>
      </c>
      <c r="E507" s="433"/>
      <c r="F507" s="185">
        <f t="shared" si="22"/>
        <v>0</v>
      </c>
      <c r="G507" s="280">
        <v>0.0005</v>
      </c>
      <c r="H507" s="283">
        <v>0.009000000000000001</v>
      </c>
      <c r="J507" s="391"/>
    </row>
    <row r="508" spans="1:10" s="382" customFormat="1" ht="12.75">
      <c r="A508" s="237" t="s">
        <v>86</v>
      </c>
      <c r="B508" s="231" t="s">
        <v>259</v>
      </c>
      <c r="C508" s="389" t="s">
        <v>72</v>
      </c>
      <c r="D508" s="431">
        <v>14</v>
      </c>
      <c r="E508" s="433"/>
      <c r="F508" s="185">
        <f t="shared" si="22"/>
        <v>0</v>
      </c>
      <c r="G508" s="280">
        <v>0.0005</v>
      </c>
      <c r="H508" s="283">
        <v>0.007</v>
      </c>
      <c r="J508" s="391"/>
    </row>
    <row r="509" spans="1:10" s="382" customFormat="1" ht="12.75">
      <c r="A509" s="237" t="s">
        <v>86</v>
      </c>
      <c r="B509" s="231" t="s">
        <v>265</v>
      </c>
      <c r="C509" s="389" t="s">
        <v>72</v>
      </c>
      <c r="D509" s="431">
        <v>18</v>
      </c>
      <c r="E509" s="433"/>
      <c r="F509" s="185">
        <f t="shared" si="22"/>
        <v>0</v>
      </c>
      <c r="G509" s="280">
        <v>0.0005</v>
      </c>
      <c r="H509" s="283">
        <v>0.009000000000000001</v>
      </c>
      <c r="J509" s="391"/>
    </row>
    <row r="510" spans="1:10" s="382" customFormat="1" ht="12.75">
      <c r="A510" s="237" t="s">
        <v>86</v>
      </c>
      <c r="B510" s="231" t="s">
        <v>266</v>
      </c>
      <c r="C510" s="389" t="s">
        <v>72</v>
      </c>
      <c r="D510" s="431">
        <v>21</v>
      </c>
      <c r="E510" s="433"/>
      <c r="F510" s="185">
        <f aca="true" t="shared" si="23" ref="F510:F572">E510*D510</f>
        <v>0</v>
      </c>
      <c r="G510" s="280">
        <v>0.0005</v>
      </c>
      <c r="H510" s="283">
        <v>0.0105</v>
      </c>
      <c r="J510" s="391"/>
    </row>
    <row r="511" spans="1:10" s="382" customFormat="1" ht="12.75">
      <c r="A511" s="237" t="s">
        <v>86</v>
      </c>
      <c r="B511" s="231" t="s">
        <v>267</v>
      </c>
      <c r="C511" s="389" t="s">
        <v>72</v>
      </c>
      <c r="D511" s="431">
        <v>11</v>
      </c>
      <c r="E511" s="433"/>
      <c r="F511" s="185">
        <f t="shared" si="23"/>
        <v>0</v>
      </c>
      <c r="G511" s="280">
        <v>0.0005</v>
      </c>
      <c r="H511" s="283">
        <v>0.0055</v>
      </c>
      <c r="J511" s="391"/>
    </row>
    <row r="512" spans="1:10" s="382" customFormat="1" ht="12.75">
      <c r="A512" s="237" t="s">
        <v>86</v>
      </c>
      <c r="B512" s="231" t="s">
        <v>270</v>
      </c>
      <c r="C512" s="389" t="s">
        <v>72</v>
      </c>
      <c r="D512" s="431">
        <v>14</v>
      </c>
      <c r="E512" s="433"/>
      <c r="F512" s="185">
        <f t="shared" si="23"/>
        <v>0</v>
      </c>
      <c r="G512" s="280">
        <v>0.0005</v>
      </c>
      <c r="H512" s="283">
        <v>0.007</v>
      </c>
      <c r="J512" s="391"/>
    </row>
    <row r="513" spans="1:10" s="382" customFormat="1" ht="12.75">
      <c r="A513" s="237" t="s">
        <v>86</v>
      </c>
      <c r="B513" s="231" t="s">
        <v>271</v>
      </c>
      <c r="C513" s="389" t="s">
        <v>72</v>
      </c>
      <c r="D513" s="431">
        <v>10</v>
      </c>
      <c r="E513" s="433"/>
      <c r="F513" s="185">
        <f t="shared" si="23"/>
        <v>0</v>
      </c>
      <c r="G513" s="280">
        <v>0.0005</v>
      </c>
      <c r="H513" s="283">
        <v>0.005</v>
      </c>
      <c r="J513" s="391"/>
    </row>
    <row r="514" spans="1:10" s="382" customFormat="1" ht="12.75">
      <c r="A514" s="237" t="s">
        <v>86</v>
      </c>
      <c r="B514" s="160" t="s">
        <v>424</v>
      </c>
      <c r="C514" s="389" t="s">
        <v>72</v>
      </c>
      <c r="D514" s="168">
        <v>19</v>
      </c>
      <c r="E514" s="433"/>
      <c r="F514" s="185">
        <f t="shared" si="23"/>
        <v>0</v>
      </c>
      <c r="G514" s="280">
        <v>0.0005</v>
      </c>
      <c r="H514" s="283">
        <v>0.0095</v>
      </c>
      <c r="J514" s="391"/>
    </row>
    <row r="515" spans="1:10" s="382" customFormat="1" ht="12.75">
      <c r="A515" s="237" t="s">
        <v>86</v>
      </c>
      <c r="B515" s="231" t="s">
        <v>274</v>
      </c>
      <c r="C515" s="389" t="s">
        <v>72</v>
      </c>
      <c r="D515" s="431">
        <v>6</v>
      </c>
      <c r="E515" s="433"/>
      <c r="F515" s="185">
        <f t="shared" si="23"/>
        <v>0</v>
      </c>
      <c r="G515" s="280">
        <v>0.0005</v>
      </c>
      <c r="H515" s="283">
        <v>0.003</v>
      </c>
      <c r="J515" s="391"/>
    </row>
    <row r="516" spans="1:10" s="382" customFormat="1" ht="12.75">
      <c r="A516" s="237"/>
      <c r="B516" s="231"/>
      <c r="C516" s="389" t="s">
        <v>72</v>
      </c>
      <c r="D516" s="432">
        <f>SUM(D501:D515)</f>
        <v>224</v>
      </c>
      <c r="E516" s="433"/>
      <c r="F516" s="185"/>
      <c r="G516" s="280"/>
      <c r="H516" s="283"/>
      <c r="J516" s="391"/>
    </row>
    <row r="517" spans="1:10" s="382" customFormat="1" ht="12.75">
      <c r="A517" s="237"/>
      <c r="B517" s="157" t="s">
        <v>318</v>
      </c>
      <c r="C517" s="159"/>
      <c r="D517" s="431"/>
      <c r="E517" s="158"/>
      <c r="F517" s="185"/>
      <c r="G517" s="280"/>
      <c r="H517" s="283"/>
      <c r="J517" s="391"/>
    </row>
    <row r="518" spans="1:10" s="382" customFormat="1" ht="12.75">
      <c r="A518" s="237" t="s">
        <v>86</v>
      </c>
      <c r="B518" s="231" t="s">
        <v>279</v>
      </c>
      <c r="C518" s="389" t="s">
        <v>72</v>
      </c>
      <c r="D518" s="431">
        <v>930</v>
      </c>
      <c r="E518" s="433"/>
      <c r="F518" s="185">
        <f t="shared" si="23"/>
        <v>0</v>
      </c>
      <c r="G518" s="280"/>
      <c r="H518" s="283"/>
      <c r="J518" s="391"/>
    </row>
    <row r="519" spans="1:10" s="382" customFormat="1" ht="12.75">
      <c r="A519" s="237" t="s">
        <v>86</v>
      </c>
      <c r="B519" s="231" t="s">
        <v>284</v>
      </c>
      <c r="C519" s="389" t="s">
        <v>72</v>
      </c>
      <c r="D519" s="431">
        <v>90</v>
      </c>
      <c r="E519" s="433"/>
      <c r="F519" s="185">
        <f t="shared" si="23"/>
        <v>0</v>
      </c>
      <c r="G519" s="280"/>
      <c r="H519" s="283"/>
      <c r="J519" s="391"/>
    </row>
    <row r="520" spans="1:10" s="382" customFormat="1" ht="12.75">
      <c r="A520" s="237" t="s">
        <v>86</v>
      </c>
      <c r="B520" s="231" t="s">
        <v>286</v>
      </c>
      <c r="C520" s="389" t="s">
        <v>72</v>
      </c>
      <c r="D520" s="431">
        <v>90</v>
      </c>
      <c r="E520" s="433"/>
      <c r="F520" s="185">
        <f t="shared" si="23"/>
        <v>0</v>
      </c>
      <c r="G520" s="280"/>
      <c r="H520" s="283"/>
      <c r="J520" s="391"/>
    </row>
    <row r="521" spans="1:10" s="382" customFormat="1" ht="12.75">
      <c r="A521" s="237" t="s">
        <v>86</v>
      </c>
      <c r="B521" s="231" t="s">
        <v>288</v>
      </c>
      <c r="C521" s="389" t="s">
        <v>72</v>
      </c>
      <c r="D521" s="431">
        <v>90</v>
      </c>
      <c r="E521" s="433"/>
      <c r="F521" s="185">
        <f t="shared" si="23"/>
        <v>0</v>
      </c>
      <c r="G521" s="280"/>
      <c r="H521" s="283"/>
      <c r="J521" s="391"/>
    </row>
    <row r="522" spans="1:10" s="382" customFormat="1" ht="12.75">
      <c r="A522" s="237" t="s">
        <v>86</v>
      </c>
      <c r="B522" s="231" t="s">
        <v>290</v>
      </c>
      <c r="C522" s="389" t="s">
        <v>72</v>
      </c>
      <c r="D522" s="431">
        <v>90</v>
      </c>
      <c r="E522" s="433"/>
      <c r="F522" s="185">
        <f t="shared" si="23"/>
        <v>0</v>
      </c>
      <c r="G522" s="280"/>
      <c r="H522" s="283"/>
      <c r="J522" s="391"/>
    </row>
    <row r="523" spans="1:10" s="382" customFormat="1" ht="12.75">
      <c r="A523" s="237" t="s">
        <v>86</v>
      </c>
      <c r="B523" s="231" t="s">
        <v>291</v>
      </c>
      <c r="C523" s="389" t="s">
        <v>72</v>
      </c>
      <c r="D523" s="431">
        <v>90</v>
      </c>
      <c r="E523" s="433"/>
      <c r="F523" s="185">
        <f t="shared" si="23"/>
        <v>0</v>
      </c>
      <c r="G523" s="280"/>
      <c r="H523" s="283"/>
      <c r="J523" s="391"/>
    </row>
    <row r="524" spans="1:10" s="382" customFormat="1" ht="12.75">
      <c r="A524" s="237"/>
      <c r="B524" s="156"/>
      <c r="C524" s="159" t="s">
        <v>72</v>
      </c>
      <c r="D524" s="432">
        <f>SUM(D518:D523)</f>
        <v>1380</v>
      </c>
      <c r="E524" s="158"/>
      <c r="F524" s="185"/>
      <c r="G524" s="280"/>
      <c r="H524" s="283"/>
      <c r="J524" s="391"/>
    </row>
    <row r="525" spans="1:10" s="382" customFormat="1" ht="12.75">
      <c r="A525" s="237" t="s">
        <v>86</v>
      </c>
      <c r="B525" s="156" t="s">
        <v>103</v>
      </c>
      <c r="C525" s="159" t="s">
        <v>76</v>
      </c>
      <c r="D525" s="158">
        <f>((0.15/100*30*D487)*1.05)</f>
        <v>1.4033250000000002</v>
      </c>
      <c r="E525" s="158"/>
      <c r="F525" s="185">
        <f t="shared" si="23"/>
        <v>0</v>
      </c>
      <c r="G525" s="280">
        <v>1.5</v>
      </c>
      <c r="H525" s="283">
        <v>2.1049875</v>
      </c>
      <c r="J525" s="391"/>
    </row>
    <row r="526" spans="1:10" s="382" customFormat="1" ht="12.75">
      <c r="A526" s="237" t="s">
        <v>86</v>
      </c>
      <c r="B526" s="156" t="s">
        <v>142</v>
      </c>
      <c r="C526" s="159" t="s">
        <v>76</v>
      </c>
      <c r="D526" s="158">
        <f>((0.15/100*30*D487)*1.05)</f>
        <v>1.4033250000000002</v>
      </c>
      <c r="E526" s="158"/>
      <c r="F526" s="185">
        <f t="shared" si="23"/>
        <v>0</v>
      </c>
      <c r="G526" s="280">
        <v>1</v>
      </c>
      <c r="H526" s="283">
        <v>1.4033250000000002</v>
      </c>
      <c r="J526" s="391"/>
    </row>
    <row r="527" spans="1:10" s="382" customFormat="1" ht="12.75">
      <c r="A527" s="237" t="s">
        <v>86</v>
      </c>
      <c r="B527" s="156" t="s">
        <v>143</v>
      </c>
      <c r="C527" s="159" t="s">
        <v>76</v>
      </c>
      <c r="D527" s="158">
        <f>((0.05*D487)*1.05)</f>
        <v>1.5592500000000002</v>
      </c>
      <c r="E527" s="158"/>
      <c r="F527" s="185">
        <f t="shared" si="23"/>
        <v>0</v>
      </c>
      <c r="G527" s="280">
        <v>0.7</v>
      </c>
      <c r="H527" s="283">
        <v>1.0914750000000002</v>
      </c>
      <c r="J527" s="391"/>
    </row>
    <row r="528" spans="1:10" s="382" customFormat="1" ht="12.75">
      <c r="A528" s="237" t="s">
        <v>86</v>
      </c>
      <c r="B528" s="156" t="s">
        <v>357</v>
      </c>
      <c r="C528" s="159" t="s">
        <v>72</v>
      </c>
      <c r="D528" s="158">
        <f>(D499*3)+D516</f>
        <v>227</v>
      </c>
      <c r="E528" s="158"/>
      <c r="F528" s="185">
        <f t="shared" si="23"/>
        <v>0</v>
      </c>
      <c r="G528" s="280"/>
      <c r="H528" s="283"/>
      <c r="J528" s="391"/>
    </row>
    <row r="529" spans="1:10" s="382" customFormat="1" ht="12.75">
      <c r="A529" s="237" t="s">
        <v>86</v>
      </c>
      <c r="B529" s="156" t="s">
        <v>410</v>
      </c>
      <c r="C529" s="159" t="s">
        <v>105</v>
      </c>
      <c r="D529" s="158">
        <v>2</v>
      </c>
      <c r="E529" s="158"/>
      <c r="F529" s="185">
        <f t="shared" si="23"/>
        <v>0</v>
      </c>
      <c r="G529" s="280"/>
      <c r="H529" s="283"/>
      <c r="J529" s="391"/>
    </row>
    <row r="530" spans="1:10" s="382" customFormat="1" ht="12.75">
      <c r="A530" s="237" t="s">
        <v>86</v>
      </c>
      <c r="B530" s="156" t="s">
        <v>146</v>
      </c>
      <c r="C530" s="159" t="s">
        <v>72</v>
      </c>
      <c r="D530" s="158">
        <v>3</v>
      </c>
      <c r="E530" s="158"/>
      <c r="F530" s="185">
        <f t="shared" si="23"/>
        <v>0</v>
      </c>
      <c r="G530" s="280">
        <v>0.000534</v>
      </c>
      <c r="H530" s="283">
        <v>0.001602</v>
      </c>
      <c r="J530" s="391"/>
    </row>
    <row r="531" spans="1:10" s="382" customFormat="1" ht="12.75">
      <c r="A531" s="237" t="s">
        <v>79</v>
      </c>
      <c r="B531" s="156" t="s">
        <v>145</v>
      </c>
      <c r="C531" s="159" t="s">
        <v>75</v>
      </c>
      <c r="D531" s="158">
        <f>D487</f>
        <v>29.7</v>
      </c>
      <c r="E531" s="158"/>
      <c r="F531" s="185">
        <f t="shared" si="23"/>
        <v>0</v>
      </c>
      <c r="G531" s="280"/>
      <c r="H531" s="283"/>
      <c r="J531" s="391"/>
    </row>
    <row r="532" spans="1:10" s="382" customFormat="1" ht="12.75">
      <c r="A532" s="237" t="s">
        <v>85</v>
      </c>
      <c r="B532" s="156" t="s">
        <v>131</v>
      </c>
      <c r="C532" s="159" t="s">
        <v>76</v>
      </c>
      <c r="D532" s="158">
        <f>D526+D525</f>
        <v>2.8066500000000003</v>
      </c>
      <c r="E532" s="158"/>
      <c r="F532" s="185">
        <f t="shared" si="23"/>
        <v>0</v>
      </c>
      <c r="G532" s="280"/>
      <c r="H532" s="283"/>
      <c r="J532" s="391"/>
    </row>
    <row r="533" spans="1:10" s="382" customFormat="1" ht="12.75">
      <c r="A533" s="237" t="s">
        <v>87</v>
      </c>
      <c r="B533" s="156" t="s">
        <v>88</v>
      </c>
      <c r="C533" s="159" t="s">
        <v>76</v>
      </c>
      <c r="D533" s="158">
        <f>D532</f>
        <v>2.8066500000000003</v>
      </c>
      <c r="E533" s="158"/>
      <c r="F533" s="185">
        <f t="shared" si="23"/>
        <v>0</v>
      </c>
      <c r="G533" s="280"/>
      <c r="H533" s="283"/>
      <c r="J533" s="391"/>
    </row>
    <row r="534" spans="1:10" s="382" customFormat="1" ht="12.75">
      <c r="A534" s="237" t="s">
        <v>89</v>
      </c>
      <c r="B534" s="156" t="s">
        <v>90</v>
      </c>
      <c r="C534" s="159" t="s">
        <v>76</v>
      </c>
      <c r="D534" s="158">
        <f>D532</f>
        <v>2.8066500000000003</v>
      </c>
      <c r="E534" s="158"/>
      <c r="F534" s="185">
        <f t="shared" si="23"/>
        <v>0</v>
      </c>
      <c r="G534" s="280"/>
      <c r="H534" s="283"/>
      <c r="J534" s="391"/>
    </row>
    <row r="535" spans="1:10" s="382" customFormat="1" ht="12.75">
      <c r="A535" s="237" t="s">
        <v>139</v>
      </c>
      <c r="B535" s="156" t="s">
        <v>198</v>
      </c>
      <c r="C535" s="159" t="s">
        <v>75</v>
      </c>
      <c r="D535" s="158">
        <f>D531</f>
        <v>29.7</v>
      </c>
      <c r="E535" s="158"/>
      <c r="F535" s="185">
        <f t="shared" si="23"/>
        <v>0</v>
      </c>
      <c r="G535" s="280"/>
      <c r="H535" s="283"/>
      <c r="J535" s="391"/>
    </row>
    <row r="536" spans="1:10" s="382" customFormat="1" ht="12.75">
      <c r="A536" s="237" t="s">
        <v>91</v>
      </c>
      <c r="B536" s="156" t="s">
        <v>125</v>
      </c>
      <c r="C536" s="159" t="s">
        <v>75</v>
      </c>
      <c r="D536" s="158">
        <f>D531*2</f>
        <v>59.4</v>
      </c>
      <c r="E536" s="158"/>
      <c r="F536" s="185">
        <f t="shared" si="23"/>
        <v>0</v>
      </c>
      <c r="G536" s="280"/>
      <c r="H536" s="283"/>
      <c r="J536" s="391"/>
    </row>
    <row r="537" spans="1:10" s="382" customFormat="1" ht="12.75">
      <c r="A537" s="237" t="s">
        <v>92</v>
      </c>
      <c r="B537" s="156" t="s">
        <v>294</v>
      </c>
      <c r="C537" s="159" t="s">
        <v>75</v>
      </c>
      <c r="D537" s="158">
        <f>D531*2</f>
        <v>59.4</v>
      </c>
      <c r="E537" s="158"/>
      <c r="F537" s="185">
        <f t="shared" si="23"/>
        <v>0</v>
      </c>
      <c r="G537" s="280"/>
      <c r="H537" s="283"/>
      <c r="J537" s="391"/>
    </row>
    <row r="538" spans="1:10" s="382" customFormat="1" ht="12.75">
      <c r="A538" s="237" t="s">
        <v>201</v>
      </c>
      <c r="B538" s="156" t="s">
        <v>140</v>
      </c>
      <c r="C538" s="159" t="s">
        <v>72</v>
      </c>
      <c r="D538" s="158">
        <f>D516</f>
        <v>224</v>
      </c>
      <c r="E538" s="158"/>
      <c r="F538" s="185">
        <f t="shared" si="23"/>
        <v>0</v>
      </c>
      <c r="G538" s="280"/>
      <c r="H538" s="283"/>
      <c r="J538" s="391"/>
    </row>
    <row r="539" spans="1:10" s="382" customFormat="1" ht="20.4">
      <c r="A539" s="237" t="s">
        <v>199</v>
      </c>
      <c r="B539" s="156" t="s">
        <v>200</v>
      </c>
      <c r="C539" s="159" t="s">
        <v>72</v>
      </c>
      <c r="D539" s="158">
        <f>D538</f>
        <v>224</v>
      </c>
      <c r="E539" s="158"/>
      <c r="F539" s="185">
        <f t="shared" si="23"/>
        <v>0</v>
      </c>
      <c r="G539" s="280"/>
      <c r="H539" s="283"/>
      <c r="J539" s="391"/>
    </row>
    <row r="540" spans="1:10" s="382" customFormat="1" ht="12.75">
      <c r="A540" s="237" t="s">
        <v>201</v>
      </c>
      <c r="B540" s="156" t="s">
        <v>140</v>
      </c>
      <c r="C540" s="159" t="s">
        <v>72</v>
      </c>
      <c r="D540" s="158">
        <f>D524</f>
        <v>1380</v>
      </c>
      <c r="E540" s="158"/>
      <c r="F540" s="185">
        <f t="shared" si="23"/>
        <v>0</v>
      </c>
      <c r="G540" s="280"/>
      <c r="H540" s="283"/>
      <c r="J540" s="391"/>
    </row>
    <row r="541" spans="1:10" s="382" customFormat="1" ht="12.75">
      <c r="A541" s="237" t="s">
        <v>295</v>
      </c>
      <c r="B541" s="156" t="s">
        <v>296</v>
      </c>
      <c r="C541" s="159" t="s">
        <v>72</v>
      </c>
      <c r="D541" s="158">
        <f>D524</f>
        <v>1380</v>
      </c>
      <c r="E541" s="158"/>
      <c r="F541" s="185">
        <f t="shared" si="23"/>
        <v>0</v>
      </c>
      <c r="G541" s="280"/>
      <c r="H541" s="283"/>
      <c r="J541" s="391"/>
    </row>
    <row r="542" spans="1:10" s="382" customFormat="1" ht="12.75">
      <c r="A542" s="237" t="s">
        <v>95</v>
      </c>
      <c r="B542" s="156" t="s">
        <v>124</v>
      </c>
      <c r="C542" s="159" t="s">
        <v>77</v>
      </c>
      <c r="D542" s="158">
        <f>(D528/100000)</f>
        <v>0.00227</v>
      </c>
      <c r="E542" s="158"/>
      <c r="F542" s="185">
        <f t="shared" si="23"/>
        <v>0</v>
      </c>
      <c r="G542" s="280"/>
      <c r="H542" s="283"/>
      <c r="J542" s="391"/>
    </row>
    <row r="543" spans="1:10" s="382" customFormat="1" ht="12.75">
      <c r="A543" s="237" t="s">
        <v>121</v>
      </c>
      <c r="B543" s="156" t="s">
        <v>147</v>
      </c>
      <c r="C543" s="159" t="s">
        <v>75</v>
      </c>
      <c r="D543" s="158">
        <f>D535</f>
        <v>29.7</v>
      </c>
      <c r="E543" s="158"/>
      <c r="F543" s="185">
        <f t="shared" si="23"/>
        <v>0</v>
      </c>
      <c r="G543" s="280"/>
      <c r="H543" s="283"/>
      <c r="J543" s="391"/>
    </row>
    <row r="544" spans="1:10" s="382" customFormat="1" ht="12.75">
      <c r="A544" s="237" t="s">
        <v>79</v>
      </c>
      <c r="B544" s="156" t="s">
        <v>411</v>
      </c>
      <c r="C544" s="159" t="s">
        <v>105</v>
      </c>
      <c r="D544" s="158">
        <f>D529</f>
        <v>2</v>
      </c>
      <c r="E544" s="158"/>
      <c r="F544" s="185">
        <f t="shared" si="23"/>
        <v>0</v>
      </c>
      <c r="G544" s="280"/>
      <c r="H544" s="283"/>
      <c r="J544" s="391"/>
    </row>
    <row r="545" spans="1:10" s="382" customFormat="1" ht="12.75">
      <c r="A545" s="237" t="s">
        <v>98</v>
      </c>
      <c r="B545" s="156" t="s">
        <v>99</v>
      </c>
      <c r="C545" s="159" t="s">
        <v>76</v>
      </c>
      <c r="D545" s="158">
        <f>D487*0.02</f>
        <v>0.594</v>
      </c>
      <c r="E545" s="158"/>
      <c r="F545" s="185">
        <f t="shared" si="23"/>
        <v>0</v>
      </c>
      <c r="G545" s="280"/>
      <c r="H545" s="283"/>
      <c r="J545" s="391"/>
    </row>
    <row r="546" spans="1:10" s="382" customFormat="1" ht="13.8" thickBot="1">
      <c r="A546" s="237" t="s">
        <v>376</v>
      </c>
      <c r="B546" s="156" t="s">
        <v>101</v>
      </c>
      <c r="C546" s="159" t="s">
        <v>77</v>
      </c>
      <c r="D546" s="158">
        <f>H546</f>
        <v>5.072789500000001</v>
      </c>
      <c r="E546" s="158"/>
      <c r="F546" s="185">
        <f t="shared" si="23"/>
        <v>0</v>
      </c>
      <c r="G546" s="280"/>
      <c r="H546" s="284">
        <v>5.072789500000001</v>
      </c>
      <c r="J546" s="391"/>
    </row>
    <row r="547" spans="1:10" s="382" customFormat="1" ht="13.8" thickBot="1">
      <c r="A547" s="302"/>
      <c r="B547" s="206" t="s">
        <v>420</v>
      </c>
      <c r="C547" s="207" t="s">
        <v>75</v>
      </c>
      <c r="D547" s="427">
        <v>47.7</v>
      </c>
      <c r="E547" s="194"/>
      <c r="F547" s="195">
        <f t="shared" si="23"/>
        <v>0</v>
      </c>
      <c r="G547" s="294"/>
      <c r="H547" s="306"/>
      <c r="I547" s="329">
        <f>SUM(F548:F605)</f>
        <v>0</v>
      </c>
      <c r="J547" s="391"/>
    </row>
    <row r="548" spans="1:10" s="382" customFormat="1" ht="20.4">
      <c r="A548" s="241"/>
      <c r="B548" s="209" t="s">
        <v>115</v>
      </c>
      <c r="C548" s="205" t="s">
        <v>75</v>
      </c>
      <c r="D548" s="428">
        <f>D547</f>
        <v>47.7</v>
      </c>
      <c r="E548" s="189"/>
      <c r="F548" s="190"/>
      <c r="G548" s="293"/>
      <c r="H548" s="305"/>
      <c r="J548" s="399" t="s">
        <v>481</v>
      </c>
    </row>
    <row r="549" spans="1:10" s="382" customFormat="1" ht="12.75">
      <c r="A549" s="237" t="s">
        <v>79</v>
      </c>
      <c r="B549" s="156" t="s">
        <v>151</v>
      </c>
      <c r="C549" s="159" t="s">
        <v>75</v>
      </c>
      <c r="D549" s="158">
        <f>D548</f>
        <v>47.7</v>
      </c>
      <c r="E549" s="158"/>
      <c r="F549" s="185">
        <f t="shared" si="23"/>
        <v>0</v>
      </c>
      <c r="G549" s="280"/>
      <c r="H549" s="283"/>
      <c r="J549" s="391"/>
    </row>
    <row r="550" spans="1:10" s="382" customFormat="1" ht="12.75">
      <c r="A550" s="237" t="s">
        <v>138</v>
      </c>
      <c r="B550" s="156" t="s">
        <v>300</v>
      </c>
      <c r="C550" s="159" t="s">
        <v>75</v>
      </c>
      <c r="D550" s="158">
        <f>(D548/3)*2*2</f>
        <v>63.6</v>
      </c>
      <c r="E550" s="158"/>
      <c r="F550" s="185">
        <f t="shared" si="23"/>
        <v>0</v>
      </c>
      <c r="G550" s="280"/>
      <c r="H550" s="283"/>
      <c r="J550" s="391"/>
    </row>
    <row r="551" spans="1:8" s="382" customFormat="1" ht="12.75">
      <c r="A551" s="237" t="s">
        <v>86</v>
      </c>
      <c r="B551" s="156" t="s">
        <v>119</v>
      </c>
      <c r="C551" s="159" t="s">
        <v>106</v>
      </c>
      <c r="D551" s="158">
        <f>(D550/100)*0.2</f>
        <v>0.1272</v>
      </c>
      <c r="E551" s="158"/>
      <c r="F551" s="185">
        <f t="shared" si="23"/>
        <v>0</v>
      </c>
      <c r="G551" s="280"/>
      <c r="H551" s="283"/>
    </row>
    <row r="552" spans="1:8" s="382" customFormat="1" ht="12.75">
      <c r="A552" s="237" t="s">
        <v>85</v>
      </c>
      <c r="B552" s="156" t="s">
        <v>116</v>
      </c>
      <c r="C552" s="159"/>
      <c r="D552" s="158"/>
      <c r="E552" s="158"/>
      <c r="F552" s="185"/>
      <c r="G552" s="280"/>
      <c r="H552" s="283"/>
    </row>
    <row r="553" spans="1:10" s="382" customFormat="1" ht="12.75">
      <c r="A553" s="237" t="s">
        <v>82</v>
      </c>
      <c r="B553" s="156" t="s">
        <v>320</v>
      </c>
      <c r="C553" s="159" t="s">
        <v>76</v>
      </c>
      <c r="D553" s="158">
        <f>D548/2*0.03</f>
        <v>0.7155</v>
      </c>
      <c r="E553" s="158"/>
      <c r="F553" s="185">
        <f t="shared" si="23"/>
        <v>0</v>
      </c>
      <c r="G553" s="280">
        <v>0.8</v>
      </c>
      <c r="H553" s="283">
        <v>0.5724</v>
      </c>
      <c r="J553" s="391"/>
    </row>
    <row r="554" spans="1:10" s="382" customFormat="1" ht="12.75">
      <c r="A554" s="237" t="s">
        <v>83</v>
      </c>
      <c r="B554" s="156" t="s">
        <v>84</v>
      </c>
      <c r="C554" s="159" t="s">
        <v>75</v>
      </c>
      <c r="D554" s="158">
        <f>D548*0.5</f>
        <v>23.85</v>
      </c>
      <c r="E554" s="158"/>
      <c r="F554" s="185">
        <f t="shared" si="23"/>
        <v>0</v>
      </c>
      <c r="G554" s="280"/>
      <c r="H554" s="283"/>
      <c r="J554" s="391"/>
    </row>
    <row r="555" spans="1:10" s="382" customFormat="1" ht="12.75">
      <c r="A555" s="237" t="s">
        <v>85</v>
      </c>
      <c r="B555" s="157" t="s">
        <v>134</v>
      </c>
      <c r="C555" s="159" t="s">
        <v>75</v>
      </c>
      <c r="D555" s="173">
        <f>D548</f>
        <v>47.7</v>
      </c>
      <c r="E555" s="158"/>
      <c r="F555" s="185"/>
      <c r="G555" s="280"/>
      <c r="H555" s="283"/>
      <c r="J555" s="391"/>
    </row>
    <row r="556" spans="1:10" s="382" customFormat="1" ht="20.4">
      <c r="A556" s="237" t="s">
        <v>118</v>
      </c>
      <c r="B556" s="156" t="s">
        <v>117</v>
      </c>
      <c r="C556" s="159" t="s">
        <v>75</v>
      </c>
      <c r="D556" s="158">
        <f>D555</f>
        <v>47.7</v>
      </c>
      <c r="E556" s="158"/>
      <c r="F556" s="185">
        <f t="shared" si="23"/>
        <v>0</v>
      </c>
      <c r="G556" s="280"/>
      <c r="H556" s="283"/>
      <c r="J556" s="391"/>
    </row>
    <row r="557" spans="1:10" s="382" customFormat="1" ht="12.75">
      <c r="A557" s="237"/>
      <c r="B557" s="157" t="s">
        <v>160</v>
      </c>
      <c r="C557" s="159"/>
      <c r="D557" s="158"/>
      <c r="E557" s="158"/>
      <c r="F557" s="185"/>
      <c r="G557" s="280"/>
      <c r="H557" s="283"/>
      <c r="J557" s="391"/>
    </row>
    <row r="558" spans="1:10" s="382" customFormat="1" ht="12.75">
      <c r="A558" s="237" t="s">
        <v>86</v>
      </c>
      <c r="B558" s="231" t="s">
        <v>229</v>
      </c>
      <c r="C558" s="389" t="s">
        <v>72</v>
      </c>
      <c r="D558" s="431">
        <v>1</v>
      </c>
      <c r="E558" s="433"/>
      <c r="F558" s="185">
        <f t="shared" si="23"/>
        <v>0</v>
      </c>
      <c r="G558" s="280">
        <v>0.003</v>
      </c>
      <c r="H558" s="283">
        <v>0.003</v>
      </c>
      <c r="J558" s="391"/>
    </row>
    <row r="559" spans="1:10" s="382" customFormat="1" ht="12.75">
      <c r="A559" s="237"/>
      <c r="B559" s="156"/>
      <c r="C559" s="159"/>
      <c r="D559" s="173">
        <f>SUM(D558:D558)</f>
        <v>1</v>
      </c>
      <c r="E559" s="158"/>
      <c r="F559" s="185"/>
      <c r="G559" s="280"/>
      <c r="H559" s="283"/>
      <c r="J559" s="391"/>
    </row>
    <row r="560" spans="1:10" s="382" customFormat="1" ht="12.75">
      <c r="A560" s="237"/>
      <c r="B560" s="157" t="s">
        <v>159</v>
      </c>
      <c r="C560" s="159"/>
      <c r="D560" s="158"/>
      <c r="E560" s="158"/>
      <c r="F560" s="185"/>
      <c r="G560" s="280"/>
      <c r="H560" s="283"/>
      <c r="J560" s="391"/>
    </row>
    <row r="561" spans="1:10" s="382" customFormat="1" ht="12.75">
      <c r="A561" s="237" t="s">
        <v>86</v>
      </c>
      <c r="B561" s="231" t="s">
        <v>239</v>
      </c>
      <c r="C561" s="389" t="s">
        <v>72</v>
      </c>
      <c r="D561" s="431">
        <v>32</v>
      </c>
      <c r="E561" s="433"/>
      <c r="F561" s="185">
        <f t="shared" si="23"/>
        <v>0</v>
      </c>
      <c r="G561" s="280">
        <v>0.0005</v>
      </c>
      <c r="H561" s="283">
        <v>0.016</v>
      </c>
      <c r="J561" s="391"/>
    </row>
    <row r="562" spans="1:10" s="382" customFormat="1" ht="12.75">
      <c r="A562" s="237" t="s">
        <v>86</v>
      </c>
      <c r="B562" s="231" t="s">
        <v>244</v>
      </c>
      <c r="C562" s="389" t="s">
        <v>72</v>
      </c>
      <c r="D562" s="431">
        <v>32</v>
      </c>
      <c r="E562" s="433"/>
      <c r="F562" s="185">
        <f t="shared" si="23"/>
        <v>0</v>
      </c>
      <c r="G562" s="280">
        <v>0.0005</v>
      </c>
      <c r="H562" s="283">
        <v>0.016</v>
      </c>
      <c r="J562" s="391"/>
    </row>
    <row r="563" spans="1:10" s="382" customFormat="1" ht="12.75">
      <c r="A563" s="237" t="s">
        <v>86</v>
      </c>
      <c r="B563" s="231" t="s">
        <v>210</v>
      </c>
      <c r="C563" s="389" t="s">
        <v>72</v>
      </c>
      <c r="D563" s="431">
        <v>21</v>
      </c>
      <c r="E563" s="433"/>
      <c r="F563" s="185">
        <f t="shared" si="23"/>
        <v>0</v>
      </c>
      <c r="G563" s="280">
        <v>0.0005</v>
      </c>
      <c r="H563" s="283">
        <v>0.0105</v>
      </c>
      <c r="J563" s="391"/>
    </row>
    <row r="564" spans="1:10" s="382" customFormat="1" ht="12.75">
      <c r="A564" s="237" t="s">
        <v>86</v>
      </c>
      <c r="B564" s="231" t="s">
        <v>252</v>
      </c>
      <c r="C564" s="389" t="s">
        <v>72</v>
      </c>
      <c r="D564" s="431">
        <v>7</v>
      </c>
      <c r="E564" s="433"/>
      <c r="F564" s="185">
        <f t="shared" si="23"/>
        <v>0</v>
      </c>
      <c r="G564" s="280">
        <v>0.0005</v>
      </c>
      <c r="H564" s="283">
        <v>0.0035</v>
      </c>
      <c r="J564" s="391"/>
    </row>
    <row r="565" spans="1:10" s="382" customFormat="1" ht="12.75">
      <c r="A565" s="237" t="s">
        <v>86</v>
      </c>
      <c r="B565" s="231" t="s">
        <v>253</v>
      </c>
      <c r="C565" s="389" t="s">
        <v>72</v>
      </c>
      <c r="D565" s="431">
        <v>8</v>
      </c>
      <c r="E565" s="433"/>
      <c r="F565" s="185">
        <f t="shared" si="23"/>
        <v>0</v>
      </c>
      <c r="G565" s="280">
        <v>0.0005</v>
      </c>
      <c r="H565" s="283">
        <v>0.004</v>
      </c>
      <c r="J565" s="391"/>
    </row>
    <row r="566" spans="1:10" s="382" customFormat="1" ht="12.75">
      <c r="A566" s="237" t="s">
        <v>86</v>
      </c>
      <c r="B566" s="231" t="s">
        <v>255</v>
      </c>
      <c r="C566" s="389" t="s">
        <v>72</v>
      </c>
      <c r="D566" s="431">
        <v>7</v>
      </c>
      <c r="E566" s="433"/>
      <c r="F566" s="185">
        <f t="shared" si="23"/>
        <v>0</v>
      </c>
      <c r="G566" s="280">
        <v>0.0005</v>
      </c>
      <c r="H566" s="283">
        <v>0.0035</v>
      </c>
      <c r="J566" s="391"/>
    </row>
    <row r="567" spans="1:10" s="382" customFormat="1" ht="12.75">
      <c r="A567" s="237" t="s">
        <v>86</v>
      </c>
      <c r="B567" s="231" t="s">
        <v>257</v>
      </c>
      <c r="C567" s="389" t="s">
        <v>72</v>
      </c>
      <c r="D567" s="431">
        <v>8</v>
      </c>
      <c r="E567" s="433"/>
      <c r="F567" s="185">
        <f t="shared" si="23"/>
        <v>0</v>
      </c>
      <c r="G567" s="280">
        <v>0.0005</v>
      </c>
      <c r="H567" s="283">
        <v>0.004</v>
      </c>
      <c r="J567" s="391"/>
    </row>
    <row r="568" spans="1:10" s="382" customFormat="1" ht="12.75">
      <c r="A568" s="237" t="s">
        <v>86</v>
      </c>
      <c r="B568" s="231" t="s">
        <v>259</v>
      </c>
      <c r="C568" s="389" t="s">
        <v>72</v>
      </c>
      <c r="D568" s="431">
        <v>14</v>
      </c>
      <c r="E568" s="433"/>
      <c r="F568" s="185">
        <f t="shared" si="23"/>
        <v>0</v>
      </c>
      <c r="G568" s="280">
        <v>0.0005</v>
      </c>
      <c r="H568" s="283">
        <v>0.007</v>
      </c>
      <c r="J568" s="391"/>
    </row>
    <row r="569" spans="1:10" s="382" customFormat="1" ht="12.75">
      <c r="A569" s="237" t="s">
        <v>86</v>
      </c>
      <c r="B569" s="231" t="s">
        <v>265</v>
      </c>
      <c r="C569" s="389" t="s">
        <v>72</v>
      </c>
      <c r="D569" s="431">
        <v>8</v>
      </c>
      <c r="E569" s="433"/>
      <c r="F569" s="185">
        <f t="shared" si="23"/>
        <v>0</v>
      </c>
      <c r="G569" s="280">
        <v>0.0005</v>
      </c>
      <c r="H569" s="283">
        <v>0.004</v>
      </c>
      <c r="J569" s="391"/>
    </row>
    <row r="570" spans="1:10" s="382" customFormat="1" ht="12.75">
      <c r="A570" s="237" t="s">
        <v>86</v>
      </c>
      <c r="B570" s="231" t="s">
        <v>266</v>
      </c>
      <c r="C570" s="389" t="s">
        <v>72</v>
      </c>
      <c r="D570" s="431">
        <v>44</v>
      </c>
      <c r="E570" s="433"/>
      <c r="F570" s="185">
        <f t="shared" si="23"/>
        <v>0</v>
      </c>
      <c r="G570" s="280">
        <v>0.0005</v>
      </c>
      <c r="H570" s="283">
        <v>0.022</v>
      </c>
      <c r="J570" s="391"/>
    </row>
    <row r="571" spans="1:10" s="382" customFormat="1" ht="12.75">
      <c r="A571" s="237" t="s">
        <v>86</v>
      </c>
      <c r="B571" s="231" t="s">
        <v>267</v>
      </c>
      <c r="C571" s="389" t="s">
        <v>72</v>
      </c>
      <c r="D571" s="431">
        <v>16</v>
      </c>
      <c r="E571" s="433"/>
      <c r="F571" s="185">
        <f t="shared" si="23"/>
        <v>0</v>
      </c>
      <c r="G571" s="280">
        <v>0.0005</v>
      </c>
      <c r="H571" s="283">
        <v>0.008</v>
      </c>
      <c r="J571" s="391"/>
    </row>
    <row r="572" spans="1:10" s="382" customFormat="1" ht="12.75">
      <c r="A572" s="237" t="s">
        <v>86</v>
      </c>
      <c r="B572" s="231" t="s">
        <v>270</v>
      </c>
      <c r="C572" s="389" t="s">
        <v>72</v>
      </c>
      <c r="D572" s="431">
        <v>32</v>
      </c>
      <c r="E572" s="433"/>
      <c r="F572" s="185">
        <f t="shared" si="23"/>
        <v>0</v>
      </c>
      <c r="G572" s="280">
        <v>0.0005</v>
      </c>
      <c r="H572" s="283">
        <v>0.016</v>
      </c>
      <c r="J572" s="391"/>
    </row>
    <row r="573" spans="1:10" s="382" customFormat="1" ht="12.75">
      <c r="A573" s="237" t="s">
        <v>86</v>
      </c>
      <c r="B573" s="231" t="s">
        <v>271</v>
      </c>
      <c r="C573" s="389" t="s">
        <v>72</v>
      </c>
      <c r="D573" s="431">
        <v>32</v>
      </c>
      <c r="E573" s="433"/>
      <c r="F573" s="185">
        <f aca="true" t="shared" si="24" ref="F573:F605">E573*D573</f>
        <v>0</v>
      </c>
      <c r="G573" s="280">
        <v>0.0005</v>
      </c>
      <c r="H573" s="283">
        <v>0.016</v>
      </c>
      <c r="J573" s="391"/>
    </row>
    <row r="574" spans="1:10" s="382" customFormat="1" ht="12.75">
      <c r="A574" s="237" t="s">
        <v>86</v>
      </c>
      <c r="B574" s="160" t="s">
        <v>424</v>
      </c>
      <c r="C574" s="389" t="s">
        <v>72</v>
      </c>
      <c r="D574" s="168">
        <v>31</v>
      </c>
      <c r="E574" s="433"/>
      <c r="F574" s="185">
        <f t="shared" si="24"/>
        <v>0</v>
      </c>
      <c r="G574" s="280">
        <v>0.0005</v>
      </c>
      <c r="H574" s="283">
        <v>0.0155</v>
      </c>
      <c r="J574" s="391"/>
    </row>
    <row r="575" spans="1:10" s="382" customFormat="1" ht="12.75">
      <c r="A575" s="237" t="s">
        <v>86</v>
      </c>
      <c r="B575" s="231" t="s">
        <v>274</v>
      </c>
      <c r="C575" s="389" t="s">
        <v>72</v>
      </c>
      <c r="D575" s="431">
        <v>14</v>
      </c>
      <c r="E575" s="433"/>
      <c r="F575" s="185">
        <f t="shared" si="24"/>
        <v>0</v>
      </c>
      <c r="G575" s="280">
        <v>0.0005</v>
      </c>
      <c r="H575" s="283">
        <v>0.007</v>
      </c>
      <c r="J575" s="391"/>
    </row>
    <row r="576" spans="1:10" s="382" customFormat="1" ht="12.75">
      <c r="A576" s="237"/>
      <c r="B576" s="231"/>
      <c r="C576" s="389" t="s">
        <v>72</v>
      </c>
      <c r="D576" s="432">
        <f>SUM(D561:D575)</f>
        <v>306</v>
      </c>
      <c r="E576" s="433"/>
      <c r="F576" s="185"/>
      <c r="G576" s="280"/>
      <c r="H576" s="283"/>
      <c r="J576" s="391"/>
    </row>
    <row r="577" spans="1:10" s="382" customFormat="1" ht="12.75">
      <c r="A577" s="237"/>
      <c r="B577" s="157" t="s">
        <v>318</v>
      </c>
      <c r="C577" s="159"/>
      <c r="D577" s="431"/>
      <c r="E577" s="158"/>
      <c r="F577" s="185"/>
      <c r="G577" s="280"/>
      <c r="H577" s="283"/>
      <c r="J577" s="391"/>
    </row>
    <row r="578" spans="1:10" s="382" customFormat="1" ht="12.75">
      <c r="A578" s="237" t="s">
        <v>86</v>
      </c>
      <c r="B578" s="231" t="s">
        <v>279</v>
      </c>
      <c r="C578" s="389" t="s">
        <v>72</v>
      </c>
      <c r="D578" s="431">
        <v>1314</v>
      </c>
      <c r="E578" s="433"/>
      <c r="F578" s="185">
        <f t="shared" si="24"/>
        <v>0</v>
      </c>
      <c r="G578" s="280"/>
      <c r="H578" s="283"/>
      <c r="J578" s="391"/>
    </row>
    <row r="579" spans="1:10" s="382" customFormat="1" ht="12.75">
      <c r="A579" s="237" t="s">
        <v>86</v>
      </c>
      <c r="B579" s="231" t="s">
        <v>284</v>
      </c>
      <c r="C579" s="389" t="s">
        <v>72</v>
      </c>
      <c r="D579" s="431">
        <v>180</v>
      </c>
      <c r="E579" s="433"/>
      <c r="F579" s="185">
        <f t="shared" si="24"/>
        <v>0</v>
      </c>
      <c r="G579" s="280"/>
      <c r="H579" s="283"/>
      <c r="J579" s="391"/>
    </row>
    <row r="580" spans="1:10" s="382" customFormat="1" ht="12.75">
      <c r="A580" s="237" t="s">
        <v>86</v>
      </c>
      <c r="B580" s="231" t="s">
        <v>286</v>
      </c>
      <c r="C580" s="389" t="s">
        <v>72</v>
      </c>
      <c r="D580" s="431">
        <v>180</v>
      </c>
      <c r="E580" s="433"/>
      <c r="F580" s="185">
        <f t="shared" si="24"/>
        <v>0</v>
      </c>
      <c r="G580" s="280"/>
      <c r="H580" s="283"/>
      <c r="J580" s="391"/>
    </row>
    <row r="581" spans="1:10" s="382" customFormat="1" ht="12.75">
      <c r="A581" s="237" t="s">
        <v>86</v>
      </c>
      <c r="B581" s="231" t="s">
        <v>288</v>
      </c>
      <c r="C581" s="389" t="s">
        <v>72</v>
      </c>
      <c r="D581" s="431">
        <v>180</v>
      </c>
      <c r="E581" s="433"/>
      <c r="F581" s="185">
        <f t="shared" si="24"/>
        <v>0</v>
      </c>
      <c r="G581" s="280"/>
      <c r="H581" s="283"/>
      <c r="J581" s="391"/>
    </row>
    <row r="582" spans="1:10" s="382" customFormat="1" ht="12.75">
      <c r="A582" s="237" t="s">
        <v>86</v>
      </c>
      <c r="B582" s="231" t="s">
        <v>290</v>
      </c>
      <c r="C582" s="389" t="s">
        <v>72</v>
      </c>
      <c r="D582" s="431">
        <v>180</v>
      </c>
      <c r="E582" s="433"/>
      <c r="F582" s="185">
        <f t="shared" si="24"/>
        <v>0</v>
      </c>
      <c r="G582" s="280"/>
      <c r="H582" s="283"/>
      <c r="J582" s="391"/>
    </row>
    <row r="583" spans="1:10" s="382" customFormat="1" ht="12.75">
      <c r="A583" s="237" t="s">
        <v>86</v>
      </c>
      <c r="B583" s="231" t="s">
        <v>291</v>
      </c>
      <c r="C583" s="389" t="s">
        <v>72</v>
      </c>
      <c r="D583" s="431">
        <v>180</v>
      </c>
      <c r="E583" s="433"/>
      <c r="F583" s="185">
        <f t="shared" si="24"/>
        <v>0</v>
      </c>
      <c r="G583" s="280"/>
      <c r="H583" s="283"/>
      <c r="J583" s="391"/>
    </row>
    <row r="584" spans="1:10" s="382" customFormat="1" ht="12.75">
      <c r="A584" s="237"/>
      <c r="B584" s="156"/>
      <c r="C584" s="159" t="s">
        <v>72</v>
      </c>
      <c r="D584" s="432">
        <f>SUM(D578:D583)</f>
        <v>2214</v>
      </c>
      <c r="E584" s="158"/>
      <c r="F584" s="185">
        <f t="shared" si="24"/>
        <v>0</v>
      </c>
      <c r="G584" s="280"/>
      <c r="H584" s="283"/>
      <c r="J584" s="391"/>
    </row>
    <row r="585" spans="1:10" s="382" customFormat="1" ht="12.75">
      <c r="A585" s="237" t="s">
        <v>86</v>
      </c>
      <c r="B585" s="156" t="s">
        <v>103</v>
      </c>
      <c r="C585" s="159" t="s">
        <v>76</v>
      </c>
      <c r="D585" s="158">
        <f>((0.15/100*30*D547)*1.05)</f>
        <v>2.253825</v>
      </c>
      <c r="E585" s="158"/>
      <c r="F585" s="185">
        <f t="shared" si="24"/>
        <v>0</v>
      </c>
      <c r="G585" s="280">
        <v>1.5</v>
      </c>
      <c r="H585" s="283">
        <v>3.3807375</v>
      </c>
      <c r="J585" s="391"/>
    </row>
    <row r="586" spans="1:10" s="382" customFormat="1" ht="12.75">
      <c r="A586" s="237" t="s">
        <v>86</v>
      </c>
      <c r="B586" s="156" t="s">
        <v>142</v>
      </c>
      <c r="C586" s="159" t="s">
        <v>76</v>
      </c>
      <c r="D586" s="158">
        <f>((0.15/100*30*D547)*1.05)</f>
        <v>2.253825</v>
      </c>
      <c r="E586" s="158"/>
      <c r="F586" s="185">
        <f t="shared" si="24"/>
        <v>0</v>
      </c>
      <c r="G586" s="280">
        <v>1</v>
      </c>
      <c r="H586" s="283">
        <v>2.253825</v>
      </c>
      <c r="J586" s="391"/>
    </row>
    <row r="587" spans="1:10" s="382" customFormat="1" ht="12.75">
      <c r="A587" s="237" t="s">
        <v>86</v>
      </c>
      <c r="B587" s="156" t="s">
        <v>143</v>
      </c>
      <c r="C587" s="159" t="s">
        <v>76</v>
      </c>
      <c r="D587" s="158">
        <f>((0.05*D547)*1.05)</f>
        <v>2.5042500000000003</v>
      </c>
      <c r="E587" s="158"/>
      <c r="F587" s="185">
        <f t="shared" si="24"/>
        <v>0</v>
      </c>
      <c r="G587" s="280">
        <v>0.7</v>
      </c>
      <c r="H587" s="283">
        <v>1.7529750000000002</v>
      </c>
      <c r="J587" s="391"/>
    </row>
    <row r="588" spans="1:10" s="382" customFormat="1" ht="12.75">
      <c r="A588" s="237" t="s">
        <v>86</v>
      </c>
      <c r="B588" s="156" t="s">
        <v>357</v>
      </c>
      <c r="C588" s="159" t="s">
        <v>72</v>
      </c>
      <c r="D588" s="158">
        <f>(D559*3)+D576</f>
        <v>309</v>
      </c>
      <c r="E588" s="158"/>
      <c r="F588" s="185">
        <f t="shared" si="24"/>
        <v>0</v>
      </c>
      <c r="G588" s="280"/>
      <c r="H588" s="283"/>
      <c r="J588" s="391"/>
    </row>
    <row r="589" spans="1:10" s="382" customFormat="1" ht="12.75">
      <c r="A589" s="237" t="s">
        <v>79</v>
      </c>
      <c r="B589" s="156" t="s">
        <v>145</v>
      </c>
      <c r="C589" s="159" t="s">
        <v>75</v>
      </c>
      <c r="D589" s="158">
        <f>D547</f>
        <v>47.7</v>
      </c>
      <c r="E589" s="158"/>
      <c r="F589" s="185">
        <f t="shared" si="24"/>
        <v>0</v>
      </c>
      <c r="G589" s="280"/>
      <c r="H589" s="283"/>
      <c r="J589" s="391"/>
    </row>
    <row r="590" spans="1:10" s="382" customFormat="1" ht="14.4">
      <c r="A590" s="237" t="s">
        <v>85</v>
      </c>
      <c r="B590" s="156" t="s">
        <v>131</v>
      </c>
      <c r="C590" s="159" t="s">
        <v>76</v>
      </c>
      <c r="D590" s="158">
        <f>D586+D585</f>
        <v>4.50765</v>
      </c>
      <c r="E590" s="158"/>
      <c r="F590" s="185">
        <f t="shared" si="24"/>
        <v>0</v>
      </c>
      <c r="G590" s="280"/>
      <c r="H590" s="283"/>
      <c r="J590" s="251"/>
    </row>
    <row r="591" spans="1:10" s="382" customFormat="1" ht="14.4">
      <c r="A591" s="237" t="s">
        <v>87</v>
      </c>
      <c r="B591" s="156" t="s">
        <v>88</v>
      </c>
      <c r="C591" s="159" t="s">
        <v>76</v>
      </c>
      <c r="D591" s="158">
        <f>D590</f>
        <v>4.50765</v>
      </c>
      <c r="E591" s="158"/>
      <c r="F591" s="185">
        <f t="shared" si="24"/>
        <v>0</v>
      </c>
      <c r="G591" s="280"/>
      <c r="H591" s="283"/>
      <c r="J591" s="251"/>
    </row>
    <row r="592" spans="1:10" s="382" customFormat="1" ht="12.75">
      <c r="A592" s="237" t="s">
        <v>89</v>
      </c>
      <c r="B592" s="156" t="s">
        <v>90</v>
      </c>
      <c r="C592" s="159" t="s">
        <v>76</v>
      </c>
      <c r="D592" s="158">
        <f>D590</f>
        <v>4.50765</v>
      </c>
      <c r="E592" s="158"/>
      <c r="F592" s="185">
        <f t="shared" si="24"/>
        <v>0</v>
      </c>
      <c r="G592" s="280"/>
      <c r="H592" s="283"/>
      <c r="J592" s="391"/>
    </row>
    <row r="593" spans="1:10" s="382" customFormat="1" ht="12.75">
      <c r="A593" s="237" t="s">
        <v>139</v>
      </c>
      <c r="B593" s="156" t="s">
        <v>198</v>
      </c>
      <c r="C593" s="159" t="s">
        <v>75</v>
      </c>
      <c r="D593" s="158">
        <f>D589</f>
        <v>47.7</v>
      </c>
      <c r="E593" s="158"/>
      <c r="F593" s="185">
        <f t="shared" si="24"/>
        <v>0</v>
      </c>
      <c r="G593" s="280"/>
      <c r="H593" s="283"/>
      <c r="J593" s="391"/>
    </row>
    <row r="594" spans="1:10" s="382" customFormat="1" ht="12.75">
      <c r="A594" s="237" t="s">
        <v>91</v>
      </c>
      <c r="B594" s="156" t="s">
        <v>125</v>
      </c>
      <c r="C594" s="159" t="s">
        <v>75</v>
      </c>
      <c r="D594" s="158">
        <f>D589*2</f>
        <v>95.4</v>
      </c>
      <c r="E594" s="158"/>
      <c r="F594" s="185">
        <f t="shared" si="24"/>
        <v>0</v>
      </c>
      <c r="G594" s="280"/>
      <c r="H594" s="283"/>
      <c r="J594" s="391"/>
    </row>
    <row r="595" spans="1:10" s="382" customFormat="1" ht="12.75">
      <c r="A595" s="237" t="s">
        <v>92</v>
      </c>
      <c r="B595" s="156" t="s">
        <v>294</v>
      </c>
      <c r="C595" s="159" t="s">
        <v>75</v>
      </c>
      <c r="D595" s="158">
        <f>D589*2</f>
        <v>95.4</v>
      </c>
      <c r="E595" s="158"/>
      <c r="F595" s="185">
        <f t="shared" si="24"/>
        <v>0</v>
      </c>
      <c r="G595" s="280"/>
      <c r="H595" s="283"/>
      <c r="J595" s="391"/>
    </row>
    <row r="596" spans="1:10" s="382" customFormat="1" ht="12.75">
      <c r="A596" s="237" t="s">
        <v>93</v>
      </c>
      <c r="B596" s="156" t="s">
        <v>94</v>
      </c>
      <c r="C596" s="159" t="s">
        <v>72</v>
      </c>
      <c r="D596" s="158">
        <f>D559</f>
        <v>1</v>
      </c>
      <c r="E596" s="158"/>
      <c r="F596" s="185">
        <f t="shared" si="24"/>
        <v>0</v>
      </c>
      <c r="G596" s="280"/>
      <c r="H596" s="283"/>
      <c r="J596" s="391"/>
    </row>
    <row r="597" spans="1:10" s="382" customFormat="1" ht="20.4">
      <c r="A597" s="237" t="s">
        <v>120</v>
      </c>
      <c r="B597" s="156" t="s">
        <v>122</v>
      </c>
      <c r="C597" s="159" t="s">
        <v>72</v>
      </c>
      <c r="D597" s="158">
        <f>D596</f>
        <v>1</v>
      </c>
      <c r="E597" s="158"/>
      <c r="F597" s="185">
        <f t="shared" si="24"/>
        <v>0</v>
      </c>
      <c r="G597" s="280"/>
      <c r="H597" s="283"/>
      <c r="J597" s="391"/>
    </row>
    <row r="598" spans="1:10" s="382" customFormat="1" ht="12.75">
      <c r="A598" s="237" t="s">
        <v>201</v>
      </c>
      <c r="B598" s="156" t="s">
        <v>140</v>
      </c>
      <c r="C598" s="159" t="s">
        <v>72</v>
      </c>
      <c r="D598" s="158">
        <f>D584</f>
        <v>2214</v>
      </c>
      <c r="E598" s="158"/>
      <c r="F598" s="185">
        <f t="shared" si="24"/>
        <v>0</v>
      </c>
      <c r="G598" s="280"/>
      <c r="H598" s="283"/>
      <c r="J598" s="391"/>
    </row>
    <row r="599" spans="1:10" s="382" customFormat="1" ht="12.75">
      <c r="A599" s="237" t="s">
        <v>295</v>
      </c>
      <c r="B599" s="156" t="s">
        <v>296</v>
      </c>
      <c r="C599" s="159" t="s">
        <v>72</v>
      </c>
      <c r="D599" s="158">
        <f>D584</f>
        <v>2214</v>
      </c>
      <c r="E599" s="158"/>
      <c r="F599" s="185">
        <f t="shared" si="24"/>
        <v>0</v>
      </c>
      <c r="G599" s="280"/>
      <c r="H599" s="283"/>
      <c r="J599" s="391"/>
    </row>
    <row r="600" spans="1:10" s="382" customFormat="1" ht="12.75">
      <c r="A600" s="237" t="s">
        <v>201</v>
      </c>
      <c r="B600" s="156" t="s">
        <v>140</v>
      </c>
      <c r="C600" s="159" t="s">
        <v>72</v>
      </c>
      <c r="D600" s="158">
        <f>D576</f>
        <v>306</v>
      </c>
      <c r="E600" s="158"/>
      <c r="F600" s="185">
        <f t="shared" si="24"/>
        <v>0</v>
      </c>
      <c r="G600" s="280"/>
      <c r="H600" s="283"/>
      <c r="J600" s="391"/>
    </row>
    <row r="601" spans="1:10" s="382" customFormat="1" ht="20.4">
      <c r="A601" s="237" t="s">
        <v>199</v>
      </c>
      <c r="B601" s="156" t="s">
        <v>200</v>
      </c>
      <c r="C601" s="159" t="s">
        <v>72</v>
      </c>
      <c r="D601" s="158">
        <f>D576</f>
        <v>306</v>
      </c>
      <c r="E601" s="158"/>
      <c r="F601" s="185">
        <f aca="true" t="shared" si="25" ref="F601">E601*D601</f>
        <v>0</v>
      </c>
      <c r="G601" s="280"/>
      <c r="H601" s="283"/>
      <c r="J601" s="391"/>
    </row>
    <row r="602" spans="1:10" s="382" customFormat="1" ht="12.75">
      <c r="A602" s="237" t="s">
        <v>95</v>
      </c>
      <c r="B602" s="156" t="s">
        <v>124</v>
      </c>
      <c r="C602" s="159" t="s">
        <v>77</v>
      </c>
      <c r="D602" s="158">
        <f>(D588/100000)</f>
        <v>0.00309</v>
      </c>
      <c r="E602" s="158"/>
      <c r="F602" s="185">
        <f t="shared" si="24"/>
        <v>0</v>
      </c>
      <c r="G602" s="280"/>
      <c r="H602" s="283"/>
      <c r="J602" s="391"/>
    </row>
    <row r="603" spans="1:10" s="382" customFormat="1" ht="12.75">
      <c r="A603" s="237" t="s">
        <v>121</v>
      </c>
      <c r="B603" s="156" t="s">
        <v>147</v>
      </c>
      <c r="C603" s="159" t="s">
        <v>75</v>
      </c>
      <c r="D603" s="158">
        <f>D593</f>
        <v>47.7</v>
      </c>
      <c r="E603" s="158"/>
      <c r="F603" s="185">
        <f t="shared" si="24"/>
        <v>0</v>
      </c>
      <c r="G603" s="280"/>
      <c r="H603" s="283"/>
      <c r="J603" s="391"/>
    </row>
    <row r="604" spans="1:10" s="382" customFormat="1" ht="12.75">
      <c r="A604" s="237" t="s">
        <v>98</v>
      </c>
      <c r="B604" s="156" t="s">
        <v>99</v>
      </c>
      <c r="C604" s="159" t="s">
        <v>76</v>
      </c>
      <c r="D604" s="158">
        <f>D547*0.02</f>
        <v>0.9540000000000001</v>
      </c>
      <c r="E604" s="158"/>
      <c r="F604" s="185">
        <f t="shared" si="24"/>
        <v>0</v>
      </c>
      <c r="G604" s="280"/>
      <c r="H604" s="283"/>
      <c r="J604" s="391"/>
    </row>
    <row r="605" spans="1:10" s="382" customFormat="1" ht="13.8" thickBot="1">
      <c r="A605" s="237" t="s">
        <v>376</v>
      </c>
      <c r="B605" s="156" t="s">
        <v>101</v>
      </c>
      <c r="C605" s="159" t="s">
        <v>77</v>
      </c>
      <c r="D605" s="158">
        <f>H605</f>
        <v>8.115937500000001</v>
      </c>
      <c r="E605" s="158"/>
      <c r="F605" s="185">
        <f t="shared" si="24"/>
        <v>0</v>
      </c>
      <c r="G605" s="280"/>
      <c r="H605" s="284">
        <v>8.115937500000001</v>
      </c>
      <c r="J605" s="391"/>
    </row>
    <row r="606" spans="1:12" s="366" customFormat="1" ht="13.8" thickBot="1">
      <c r="A606" s="406"/>
      <c r="B606" s="407"/>
      <c r="C606" s="407"/>
      <c r="D606" s="408"/>
      <c r="E606" s="408"/>
      <c r="F606" s="409">
        <f>SUM(F380:F605)/2</f>
        <v>0</v>
      </c>
      <c r="G606" s="410"/>
      <c r="H606" s="410"/>
      <c r="I606" s="411">
        <f>SUM(I380:I605)</f>
        <v>0</v>
      </c>
      <c r="J606" s="399"/>
      <c r="K606" s="278"/>
      <c r="L606" s="278"/>
    </row>
    <row r="607" ht="12.75">
      <c r="D607" s="181"/>
    </row>
    <row r="608" spans="2:4" ht="12.75">
      <c r="B608" s="388" t="s">
        <v>102</v>
      </c>
      <c r="D608" s="181"/>
    </row>
    <row r="609" spans="2:4" ht="12.75">
      <c r="B609" s="388" t="s">
        <v>472</v>
      </c>
      <c r="D609" s="181"/>
    </row>
    <row r="610" spans="2:4" ht="12.75">
      <c r="B610" s="388" t="s">
        <v>473</v>
      </c>
      <c r="D610" s="181"/>
    </row>
    <row r="611" spans="2:4" ht="12.75">
      <c r="B611" s="388" t="s">
        <v>152</v>
      </c>
      <c r="D611" s="181"/>
    </row>
    <row r="612" spans="2:4" ht="12.75">
      <c r="B612" s="388" t="s">
        <v>129</v>
      </c>
      <c r="D612" s="181"/>
    </row>
    <row r="613" spans="2:4" ht="12.75">
      <c r="B613" s="388" t="s">
        <v>130</v>
      </c>
      <c r="D613" s="181"/>
    </row>
    <row r="614" ht="12.75">
      <c r="D614" s="181"/>
    </row>
    <row r="615" spans="3:10" ht="12.75">
      <c r="C615" s="181"/>
      <c r="D615" s="181"/>
      <c r="E615" s="184"/>
      <c r="I615" s="162"/>
      <c r="J615" s="392"/>
    </row>
    <row r="616" ht="12.75">
      <c r="D616" s="181"/>
    </row>
    <row r="617" spans="1:9" ht="13.8" thickBot="1">
      <c r="A617" s="225"/>
      <c r="B617" s="174"/>
      <c r="C617" s="174"/>
      <c r="D617" s="182"/>
      <c r="E617" s="182"/>
      <c r="F617" s="187"/>
      <c r="G617" s="187"/>
      <c r="H617" s="187"/>
      <c r="I617" s="187"/>
    </row>
    <row r="618" spans="1:10" s="247" customFormat="1" ht="41.4" thickBot="1">
      <c r="A618" s="254"/>
      <c r="B618" s="242"/>
      <c r="C618" s="242"/>
      <c r="D618" s="243"/>
      <c r="E618" s="243"/>
      <c r="F618" s="244"/>
      <c r="G618" s="245" t="s">
        <v>432</v>
      </c>
      <c r="H618" s="246" t="s">
        <v>431</v>
      </c>
      <c r="I618" s="246" t="s">
        <v>433</v>
      </c>
      <c r="J618" s="393" t="s">
        <v>430</v>
      </c>
    </row>
    <row r="619" spans="1:12" ht="12.75">
      <c r="A619" s="255">
        <v>1</v>
      </c>
      <c r="B619" s="212" t="s">
        <v>107</v>
      </c>
      <c r="C619" s="213"/>
      <c r="D619" s="214"/>
      <c r="E619" s="214"/>
      <c r="F619" s="265">
        <f>I6</f>
        <v>0</v>
      </c>
      <c r="G619" s="266">
        <f>F619</f>
        <v>0</v>
      </c>
      <c r="H619" s="285">
        <f>G619*1.21</f>
        <v>0</v>
      </c>
      <c r="I619" s="285"/>
      <c r="J619" s="394">
        <f>H619</f>
        <v>0</v>
      </c>
      <c r="K619" s="249"/>
      <c r="L619" s="249"/>
    </row>
    <row r="620" spans="1:12" ht="12.75">
      <c r="A620" s="256">
        <v>2</v>
      </c>
      <c r="B620" s="170" t="s">
        <v>141</v>
      </c>
      <c r="C620" s="166" t="s">
        <v>75</v>
      </c>
      <c r="D620" s="158">
        <f>D42</f>
        <v>1029</v>
      </c>
      <c r="E620" s="234">
        <f aca="true" t="shared" si="26" ref="E620:E628">F620/D620</f>
        <v>0</v>
      </c>
      <c r="F620" s="267">
        <f>I27</f>
        <v>0</v>
      </c>
      <c r="G620" s="268">
        <f aca="true" t="shared" si="27" ref="G620:G627">F620</f>
        <v>0</v>
      </c>
      <c r="H620" s="286">
        <f aca="true" t="shared" si="28" ref="H620:H640">G620*1.21</f>
        <v>0</v>
      </c>
      <c r="I620" s="286"/>
      <c r="J620" s="272"/>
      <c r="K620" s="249"/>
      <c r="L620" s="249"/>
    </row>
    <row r="621" spans="1:12" ht="12.75">
      <c r="A621" s="256">
        <v>3</v>
      </c>
      <c r="B621" s="170" t="s">
        <v>385</v>
      </c>
      <c r="C621" s="166" t="s">
        <v>72</v>
      </c>
      <c r="D621" s="158">
        <v>2</v>
      </c>
      <c r="E621" s="234">
        <f t="shared" si="26"/>
        <v>0</v>
      </c>
      <c r="F621" s="267">
        <f>I57</f>
        <v>0</v>
      </c>
      <c r="G621" s="268">
        <f t="shared" si="27"/>
        <v>0</v>
      </c>
      <c r="H621" s="286">
        <f t="shared" si="28"/>
        <v>0</v>
      </c>
      <c r="I621" s="286">
        <f>('Péče po dobu tří let'!G72*1.21)*3</f>
        <v>0</v>
      </c>
      <c r="J621" s="272">
        <f>I621+H621</f>
        <v>0</v>
      </c>
      <c r="K621" s="249"/>
      <c r="L621" s="249"/>
    </row>
    <row r="622" spans="1:12" ht="12.75">
      <c r="A622" s="257"/>
      <c r="B622" s="156" t="s">
        <v>185</v>
      </c>
      <c r="C622" s="159" t="s">
        <v>75</v>
      </c>
      <c r="D622" s="158">
        <v>31.6</v>
      </c>
      <c r="E622" s="234">
        <f t="shared" si="26"/>
        <v>0</v>
      </c>
      <c r="F622" s="267">
        <f>I92</f>
        <v>0</v>
      </c>
      <c r="G622" s="269">
        <f t="shared" si="27"/>
        <v>0</v>
      </c>
      <c r="H622" s="286">
        <f t="shared" si="28"/>
        <v>0</v>
      </c>
      <c r="I622" s="286">
        <f>(('Péče po dobu tří let'!G3*1.21)*3)</f>
        <v>0</v>
      </c>
      <c r="J622" s="395">
        <f>I622+H622+H623+H624+H625+H626+H627+H620</f>
        <v>0</v>
      </c>
      <c r="K622" s="249"/>
      <c r="L622" s="249"/>
    </row>
    <row r="623" spans="1:12" ht="12.75">
      <c r="A623" s="257"/>
      <c r="B623" s="156" t="s">
        <v>186</v>
      </c>
      <c r="C623" s="159" t="s">
        <v>75</v>
      </c>
      <c r="D623" s="158">
        <v>20</v>
      </c>
      <c r="E623" s="234">
        <f t="shared" si="26"/>
        <v>0</v>
      </c>
      <c r="F623" s="267">
        <f>I124</f>
        <v>0</v>
      </c>
      <c r="G623" s="269">
        <f t="shared" si="27"/>
        <v>0</v>
      </c>
      <c r="H623" s="286">
        <f t="shared" si="28"/>
        <v>0</v>
      </c>
      <c r="I623" s="286"/>
      <c r="J623" s="272"/>
      <c r="K623" s="249"/>
      <c r="L623" s="249"/>
    </row>
    <row r="624" spans="1:12" ht="12.75">
      <c r="A624" s="257"/>
      <c r="B624" s="156" t="s">
        <v>187</v>
      </c>
      <c r="C624" s="159" t="s">
        <v>75</v>
      </c>
      <c r="D624" s="158">
        <v>128.2</v>
      </c>
      <c r="E624" s="234">
        <f t="shared" si="26"/>
        <v>0</v>
      </c>
      <c r="F624" s="267">
        <f>I154</f>
        <v>0</v>
      </c>
      <c r="G624" s="269">
        <f t="shared" si="27"/>
        <v>0</v>
      </c>
      <c r="H624" s="286">
        <f t="shared" si="28"/>
        <v>0</v>
      </c>
      <c r="I624" s="286"/>
      <c r="J624" s="272"/>
      <c r="K624" s="249"/>
      <c r="L624" s="249"/>
    </row>
    <row r="625" spans="1:12" ht="12.75">
      <c r="A625" s="257"/>
      <c r="B625" s="156" t="s">
        <v>293</v>
      </c>
      <c r="C625" s="159" t="s">
        <v>75</v>
      </c>
      <c r="D625" s="158">
        <v>88.3</v>
      </c>
      <c r="E625" s="158">
        <f t="shared" si="26"/>
        <v>0</v>
      </c>
      <c r="F625" s="267">
        <f>I179</f>
        <v>0</v>
      </c>
      <c r="G625" s="269">
        <f t="shared" si="27"/>
        <v>0</v>
      </c>
      <c r="H625" s="286">
        <f t="shared" si="28"/>
        <v>0</v>
      </c>
      <c r="I625" s="286"/>
      <c r="J625" s="417"/>
      <c r="K625" s="249"/>
      <c r="L625" s="249"/>
    </row>
    <row r="626" spans="1:12" ht="12.75">
      <c r="A626" s="257"/>
      <c r="B626" s="156" t="s">
        <v>183</v>
      </c>
      <c r="C626" s="159" t="s">
        <v>75</v>
      </c>
      <c r="D626" s="158">
        <v>18.4</v>
      </c>
      <c r="E626" s="158">
        <f t="shared" si="26"/>
        <v>0</v>
      </c>
      <c r="F626" s="267">
        <f>I251</f>
        <v>0</v>
      </c>
      <c r="G626" s="269">
        <f t="shared" si="27"/>
        <v>0</v>
      </c>
      <c r="H626" s="286">
        <f t="shared" si="28"/>
        <v>0</v>
      </c>
      <c r="I626" s="286"/>
      <c r="J626" s="417"/>
      <c r="K626" s="249"/>
      <c r="L626" s="249"/>
    </row>
    <row r="627" spans="1:12" ht="12.75">
      <c r="A627" s="257"/>
      <c r="B627" s="156" t="s">
        <v>184</v>
      </c>
      <c r="C627" s="159" t="s">
        <v>75</v>
      </c>
      <c r="D627" s="158">
        <v>54.3</v>
      </c>
      <c r="E627" s="158">
        <f t="shared" si="26"/>
        <v>0</v>
      </c>
      <c r="F627" s="267">
        <f>I293</f>
        <v>0</v>
      </c>
      <c r="G627" s="269">
        <f t="shared" si="27"/>
        <v>0</v>
      </c>
      <c r="H627" s="286">
        <f t="shared" si="28"/>
        <v>0</v>
      </c>
      <c r="I627" s="286"/>
      <c r="J627" s="417"/>
      <c r="K627" s="249"/>
      <c r="L627" s="249"/>
    </row>
    <row r="628" spans="1:12" ht="12.75">
      <c r="A628" s="257"/>
      <c r="B628" s="156" t="s">
        <v>298</v>
      </c>
      <c r="C628" s="159" t="s">
        <v>75</v>
      </c>
      <c r="D628" s="158">
        <v>686</v>
      </c>
      <c r="E628" s="158">
        <f t="shared" si="26"/>
        <v>0</v>
      </c>
      <c r="F628" s="267">
        <f>I350</f>
        <v>0</v>
      </c>
      <c r="G628" s="269">
        <f>F628</f>
        <v>0</v>
      </c>
      <c r="H628" s="286">
        <f>G628*1.21</f>
        <v>0</v>
      </c>
      <c r="I628" s="286">
        <f>'Péče po dobu tří let'!G62*1.21*3</f>
        <v>0</v>
      </c>
      <c r="J628" s="417">
        <f>I628+H628</f>
        <v>0</v>
      </c>
      <c r="K628" s="249"/>
      <c r="L628" s="249"/>
    </row>
    <row r="629" spans="1:12" ht="12.75">
      <c r="A629" s="256"/>
      <c r="B629" s="160"/>
      <c r="C629" s="166"/>
      <c r="D629" s="158"/>
      <c r="E629" s="158"/>
      <c r="F629" s="267"/>
      <c r="G629" s="269"/>
      <c r="H629" s="286"/>
      <c r="I629" s="286"/>
      <c r="J629" s="417"/>
      <c r="K629" s="249"/>
      <c r="L629" s="249"/>
    </row>
    <row r="630" spans="1:10" s="235" customFormat="1" ht="12.75">
      <c r="A630" s="258"/>
      <c r="B630" s="156" t="str">
        <f>B379</f>
        <v>Hlavní areál</v>
      </c>
      <c r="C630" s="159"/>
      <c r="D630" s="158"/>
      <c r="E630" s="158"/>
      <c r="F630" s="267"/>
      <c r="G630" s="269"/>
      <c r="H630" s="286"/>
      <c r="I630" s="286"/>
      <c r="J630" s="417"/>
    </row>
    <row r="631" spans="1:10" s="235" customFormat="1" ht="12.75">
      <c r="A631" s="258"/>
      <c r="B631" s="156" t="str">
        <f>B380</f>
        <v>TZ 04</v>
      </c>
      <c r="C631" s="159" t="s">
        <v>75</v>
      </c>
      <c r="D631" s="158">
        <f>D380</f>
        <v>15.7</v>
      </c>
      <c r="E631" s="158">
        <f>F631/D631</f>
        <v>0</v>
      </c>
      <c r="F631" s="267">
        <f>I380</f>
        <v>0</v>
      </c>
      <c r="G631" s="269">
        <f aca="true" t="shared" si="29" ref="G631:G633">F631</f>
        <v>0</v>
      </c>
      <c r="H631" s="286">
        <f aca="true" t="shared" si="30" ref="H631:H633">G631*1.21</f>
        <v>0</v>
      </c>
      <c r="I631" s="286">
        <f>'Péče po dobu tří let'!I17</f>
        <v>0</v>
      </c>
      <c r="J631" s="417">
        <f>I631+H631</f>
        <v>0</v>
      </c>
    </row>
    <row r="632" spans="1:10" s="235" customFormat="1" ht="12.75">
      <c r="A632" s="258"/>
      <c r="B632" s="156" t="str">
        <f>B430</f>
        <v>TZ 05</v>
      </c>
      <c r="C632" s="159" t="s">
        <v>75</v>
      </c>
      <c r="D632" s="158">
        <f>D430</f>
        <v>88.5</v>
      </c>
      <c r="E632" s="158">
        <f>F632/D632</f>
        <v>0</v>
      </c>
      <c r="F632" s="267">
        <f>I430</f>
        <v>0</v>
      </c>
      <c r="G632" s="269">
        <f t="shared" si="29"/>
        <v>0</v>
      </c>
      <c r="H632" s="286">
        <f t="shared" si="30"/>
        <v>0</v>
      </c>
      <c r="I632" s="286">
        <f>'Péče po dobu tří let'!G27*1.21*3</f>
        <v>0</v>
      </c>
      <c r="J632" s="417">
        <f aca="true" t="shared" si="31" ref="J632:J634">I632+H632</f>
        <v>0</v>
      </c>
    </row>
    <row r="633" spans="1:10" s="235" customFormat="1" ht="12.75">
      <c r="A633" s="258"/>
      <c r="B633" s="156" t="str">
        <f>B487</f>
        <v>TZ 06.01,02</v>
      </c>
      <c r="C633" s="159" t="s">
        <v>75</v>
      </c>
      <c r="D633" s="158">
        <f>D487</f>
        <v>29.7</v>
      </c>
      <c r="E633" s="158">
        <f>F633/D633</f>
        <v>0</v>
      </c>
      <c r="F633" s="267">
        <f>I487</f>
        <v>0</v>
      </c>
      <c r="G633" s="269">
        <f t="shared" si="29"/>
        <v>0</v>
      </c>
      <c r="H633" s="286">
        <f t="shared" si="30"/>
        <v>0</v>
      </c>
      <c r="I633" s="286">
        <f>'Péče po dobu tří let'!G37*1.21*3</f>
        <v>0</v>
      </c>
      <c r="J633" s="417">
        <f t="shared" si="31"/>
        <v>0</v>
      </c>
    </row>
    <row r="634" spans="1:10" s="235" customFormat="1" ht="12.75">
      <c r="A634" s="258"/>
      <c r="B634" s="156" t="str">
        <f>B547</f>
        <v>TZ 07</v>
      </c>
      <c r="C634" s="159" t="s">
        <v>75</v>
      </c>
      <c r="D634" s="158">
        <f>D547</f>
        <v>47.7</v>
      </c>
      <c r="E634" s="158">
        <f>F634/D634</f>
        <v>0</v>
      </c>
      <c r="F634" s="267">
        <f>I547</f>
        <v>0</v>
      </c>
      <c r="G634" s="269">
        <f aca="true" t="shared" si="32" ref="G634">F634</f>
        <v>0</v>
      </c>
      <c r="H634" s="286">
        <f aca="true" t="shared" si="33" ref="H634">G634*1.21</f>
        <v>0</v>
      </c>
      <c r="I634" s="286">
        <f>'Péče po dobu tří let'!G48*1.21*3</f>
        <v>0</v>
      </c>
      <c r="J634" s="417">
        <f t="shared" si="31"/>
        <v>0</v>
      </c>
    </row>
    <row r="635" spans="1:10" s="235" customFormat="1" ht="12.75">
      <c r="A635" s="258">
        <v>4</v>
      </c>
      <c r="B635" s="157" t="s">
        <v>319</v>
      </c>
      <c r="C635" s="159"/>
      <c r="D635" s="158"/>
      <c r="E635" s="158"/>
      <c r="F635" s="267"/>
      <c r="G635" s="268">
        <f>SUM(G622:G634)</f>
        <v>0</v>
      </c>
      <c r="H635" s="286"/>
      <c r="I635" s="286"/>
      <c r="J635" s="417"/>
    </row>
    <row r="636" spans="1:10" s="250" customFormat="1" ht="12.75">
      <c r="A636" s="259"/>
      <c r="B636" s="418"/>
      <c r="C636" s="419"/>
      <c r="D636" s="420"/>
      <c r="E636" s="420"/>
      <c r="F636" s="421"/>
      <c r="G636" s="422"/>
      <c r="H636" s="423"/>
      <c r="I636" s="423"/>
      <c r="J636" s="424"/>
    </row>
    <row r="637" spans="1:10" s="250" customFormat="1" ht="12.75">
      <c r="A637" s="259"/>
      <c r="B637" s="156" t="s">
        <v>458</v>
      </c>
      <c r="C637" s="159" t="s">
        <v>75</v>
      </c>
      <c r="D637" s="158">
        <f>SUM(D622:D636)</f>
        <v>1208.4</v>
      </c>
      <c r="E637" s="420"/>
      <c r="F637" s="421"/>
      <c r="G637" s="422"/>
      <c r="H637" s="423"/>
      <c r="I637" s="423"/>
      <c r="J637" s="424"/>
    </row>
    <row r="638" spans="1:10" s="235" customFormat="1" ht="12.75">
      <c r="A638" s="258"/>
      <c r="B638" s="232"/>
      <c r="C638" s="233"/>
      <c r="D638" s="234"/>
      <c r="E638" s="234"/>
      <c r="F638" s="270"/>
      <c r="G638" s="271"/>
      <c r="H638" s="287"/>
      <c r="I638" s="287"/>
      <c r="J638" s="272"/>
    </row>
    <row r="639" spans="1:12" ht="12.75">
      <c r="A639" s="257"/>
      <c r="B639" s="157"/>
      <c r="C639" s="159"/>
      <c r="D639" s="158"/>
      <c r="E639" s="158"/>
      <c r="F639" s="267"/>
      <c r="G639" s="269"/>
      <c r="H639" s="286"/>
      <c r="I639" s="286"/>
      <c r="J639" s="272"/>
      <c r="K639" s="249"/>
      <c r="L639" s="249"/>
    </row>
    <row r="640" spans="1:12" ht="12.75">
      <c r="A640" s="260">
        <v>5</v>
      </c>
      <c r="B640" s="208" t="s">
        <v>460</v>
      </c>
      <c r="C640" s="188" t="s">
        <v>405</v>
      </c>
      <c r="D640" s="202">
        <v>3</v>
      </c>
      <c r="E640" s="202">
        <f>'Péče po dobu tří let'!G78</f>
        <v>0</v>
      </c>
      <c r="F640" s="273">
        <f>G640</f>
        <v>0</v>
      </c>
      <c r="G640" s="274">
        <f>'Péče po dobu tří let'!G81</f>
        <v>0</v>
      </c>
      <c r="H640" s="286">
        <f t="shared" si="28"/>
        <v>0</v>
      </c>
      <c r="I640" s="286"/>
      <c r="J640" s="272"/>
      <c r="K640" s="249"/>
      <c r="L640" s="249"/>
    </row>
    <row r="641" spans="1:12" ht="13.8" thickBot="1">
      <c r="A641" s="261"/>
      <c r="B641" s="175"/>
      <c r="C641" s="175"/>
      <c r="D641" s="202"/>
      <c r="E641" s="219"/>
      <c r="F641" s="273"/>
      <c r="G641" s="275"/>
      <c r="H641" s="288"/>
      <c r="I641" s="288"/>
      <c r="J641" s="396"/>
      <c r="K641" s="249"/>
      <c r="L641" s="249"/>
    </row>
    <row r="642" spans="1:12" ht="12.75">
      <c r="A642" s="262"/>
      <c r="B642" s="222" t="s">
        <v>382</v>
      </c>
      <c r="C642" s="220"/>
      <c r="D642" s="214"/>
      <c r="E642" s="221"/>
      <c r="F642" s="265"/>
      <c r="G642" s="228">
        <f>SUM(G619:G641)-G635</f>
        <v>0</v>
      </c>
      <c r="H642" s="285"/>
      <c r="I642" s="285"/>
      <c r="J642" s="394"/>
      <c r="K642" s="249"/>
      <c r="L642" s="249"/>
    </row>
    <row r="643" spans="1:12" ht="12.75">
      <c r="A643" s="257"/>
      <c r="B643" s="210" t="s">
        <v>383</v>
      </c>
      <c r="C643" s="160"/>
      <c r="D643" s="158"/>
      <c r="E643" s="168"/>
      <c r="F643" s="267"/>
      <c r="G643" s="229">
        <f>G642/100*21</f>
        <v>0</v>
      </c>
      <c r="H643" s="286"/>
      <c r="I643" s="286"/>
      <c r="J643" s="272"/>
      <c r="K643" s="249"/>
      <c r="L643" s="249"/>
    </row>
    <row r="644" spans="1:12" ht="13.8" thickBot="1">
      <c r="A644" s="263"/>
      <c r="B644" s="223" t="s">
        <v>384</v>
      </c>
      <c r="C644" s="216"/>
      <c r="D644" s="217"/>
      <c r="E644" s="218"/>
      <c r="F644" s="276"/>
      <c r="G644" s="230">
        <f>SUM(G642:G643)</f>
        <v>0</v>
      </c>
      <c r="H644" s="289">
        <f>SUM(H619:H643)</f>
        <v>0</v>
      </c>
      <c r="I644" s="289">
        <f>SUM(I621:I643)</f>
        <v>0</v>
      </c>
      <c r="J644" s="397">
        <f>SUM(J619:J643)</f>
        <v>0</v>
      </c>
      <c r="K644" s="249"/>
      <c r="L644" s="249"/>
    </row>
    <row r="645" spans="3:10" ht="12.75">
      <c r="C645" s="174"/>
      <c r="J645" s="398"/>
    </row>
    <row r="646" spans="3:11" ht="12.75">
      <c r="C646" s="174"/>
      <c r="J646" s="402"/>
      <c r="K646" s="434"/>
    </row>
    <row r="647" spans="7:10" ht="12.75">
      <c r="G647" s="437"/>
      <c r="J647" s="402"/>
    </row>
    <row r="649" ht="14.4">
      <c r="B649" s="251"/>
    </row>
  </sheetData>
  <mergeCells count="2">
    <mergeCell ref="D2:F2"/>
    <mergeCell ref="I18:J18"/>
  </mergeCells>
  <printOptions/>
  <pageMargins left="0.7086614173228347" right="0.11811023622047245" top="0.5905511811023623" bottom="0.3937007874015748" header="0.31496062992125984" footer="0.11811023622047245"/>
  <pageSetup horizontalDpi="600" verticalDpi="600" orientation="landscape" paperSize="9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M83"/>
  <sheetViews>
    <sheetView workbookViewId="0" topLeftCell="A1">
      <pane ySplit="1" topLeftCell="A51" activePane="bottomLeft" state="frozen"/>
      <selection pane="bottomLeft" activeCell="E4" sqref="E4:E75"/>
    </sheetView>
  </sheetViews>
  <sheetFormatPr defaultColWidth="24.00390625" defaultRowHeight="12.75"/>
  <cols>
    <col min="1" max="1" width="10.50390625" style="359" bestFit="1" customWidth="1"/>
    <col min="2" max="2" width="35.875" style="249" customWidth="1"/>
    <col min="3" max="3" width="4.50390625" style="249" bestFit="1" customWidth="1"/>
    <col min="4" max="4" width="7.875" style="249" bestFit="1" customWidth="1"/>
    <col min="5" max="5" width="7.00390625" style="249" bestFit="1" customWidth="1"/>
    <col min="6" max="6" width="6.50390625" style="366" bestFit="1" customWidth="1"/>
    <col min="7" max="9" width="6.50390625" style="349" bestFit="1" customWidth="1"/>
    <col min="10" max="10" width="5.625" style="349" bestFit="1" customWidth="1"/>
    <col min="11" max="11" width="34.375" style="349" bestFit="1" customWidth="1"/>
    <col min="12" max="13" width="8.875" style="249" customWidth="1"/>
    <col min="14" max="16384" width="24.00390625" style="249" customWidth="1"/>
  </cols>
  <sheetData>
    <row r="1" spans="1:10" s="349" customFormat="1" ht="41.4" thickBot="1">
      <c r="A1" s="318" t="s">
        <v>66</v>
      </c>
      <c r="B1" s="319" t="s">
        <v>67</v>
      </c>
      <c r="C1" s="320" t="s">
        <v>68</v>
      </c>
      <c r="D1" s="321" t="s">
        <v>69</v>
      </c>
      <c r="E1" s="321" t="s">
        <v>70</v>
      </c>
      <c r="F1" s="322" t="s">
        <v>71</v>
      </c>
      <c r="G1" s="348" t="s">
        <v>463</v>
      </c>
      <c r="H1" s="308" t="s">
        <v>464</v>
      </c>
      <c r="I1" s="323" t="s">
        <v>465</v>
      </c>
      <c r="J1" s="317"/>
    </row>
    <row r="2" spans="1:6" ht="13.8" thickBot="1">
      <c r="A2" s="325"/>
      <c r="B2" s="326" t="s">
        <v>314</v>
      </c>
      <c r="C2" s="327"/>
      <c r="D2" s="328"/>
      <c r="E2" s="328"/>
      <c r="F2" s="331"/>
    </row>
    <row r="3" spans="1:10" ht="13.8" thickBot="1">
      <c r="A3" s="324"/>
      <c r="B3" s="297" t="s">
        <v>387</v>
      </c>
      <c r="C3" s="298"/>
      <c r="D3" s="299"/>
      <c r="E3" s="299"/>
      <c r="F3" s="300"/>
      <c r="G3" s="331">
        <f>SUM(F3:F15)</f>
        <v>0</v>
      </c>
      <c r="H3" s="195">
        <f>G3*1.21</f>
        <v>0</v>
      </c>
      <c r="I3" s="350">
        <f>H3*3</f>
        <v>0</v>
      </c>
      <c r="J3" s="316"/>
    </row>
    <row r="4" spans="1:10" ht="12.75">
      <c r="A4" s="241"/>
      <c r="B4" s="209" t="s">
        <v>393</v>
      </c>
      <c r="C4" s="205" t="s">
        <v>75</v>
      </c>
      <c r="D4" s="189">
        <v>335</v>
      </c>
      <c r="E4" s="189"/>
      <c r="F4" s="190"/>
      <c r="G4" s="291"/>
      <c r="H4" s="174"/>
      <c r="I4" s="316"/>
      <c r="J4" s="316"/>
    </row>
    <row r="5" spans="1:10" ht="12.75">
      <c r="A5" s="237" t="s">
        <v>392</v>
      </c>
      <c r="B5" s="156" t="s">
        <v>394</v>
      </c>
      <c r="C5" s="159" t="s">
        <v>75</v>
      </c>
      <c r="D5" s="158">
        <f>D4</f>
        <v>335</v>
      </c>
      <c r="E5" s="158"/>
      <c r="F5" s="190">
        <f aca="true" t="shared" si="0" ref="F5:F67">E5*D5</f>
        <v>0</v>
      </c>
      <c r="G5" s="291"/>
      <c r="H5" s="174"/>
      <c r="I5" s="316"/>
      <c r="J5" s="316"/>
    </row>
    <row r="6" spans="1:10" ht="12.75">
      <c r="A6" s="237" t="s">
        <v>363</v>
      </c>
      <c r="B6" s="156" t="s">
        <v>398</v>
      </c>
      <c r="C6" s="159" t="s">
        <v>75</v>
      </c>
      <c r="D6" s="158">
        <f>D5</f>
        <v>335</v>
      </c>
      <c r="E6" s="158"/>
      <c r="F6" s="190">
        <f t="shared" si="0"/>
        <v>0</v>
      </c>
      <c r="G6" s="291"/>
      <c r="H6" s="174"/>
      <c r="I6" s="316"/>
      <c r="J6" s="316"/>
    </row>
    <row r="7" spans="1:10" ht="12.75">
      <c r="A7" s="237" t="s">
        <v>399</v>
      </c>
      <c r="B7" s="156" t="s">
        <v>397</v>
      </c>
      <c r="C7" s="159" t="s">
        <v>78</v>
      </c>
      <c r="D7" s="158">
        <f>D6*0.03</f>
        <v>10.049999999999999</v>
      </c>
      <c r="E7" s="158"/>
      <c r="F7" s="190">
        <f t="shared" si="0"/>
        <v>0</v>
      </c>
      <c r="G7" s="291"/>
      <c r="H7" s="174"/>
      <c r="I7" s="316"/>
      <c r="J7" s="316"/>
    </row>
    <row r="8" spans="1:10" ht="12.75">
      <c r="A8" s="237" t="s">
        <v>374</v>
      </c>
      <c r="B8" s="156" t="s">
        <v>480</v>
      </c>
      <c r="C8" s="159" t="s">
        <v>75</v>
      </c>
      <c r="D8" s="158">
        <f>D4*2</f>
        <v>670</v>
      </c>
      <c r="E8" s="158"/>
      <c r="F8" s="190">
        <f t="shared" si="0"/>
        <v>0</v>
      </c>
      <c r="G8" s="291"/>
      <c r="H8" s="174"/>
      <c r="I8" s="316"/>
      <c r="J8" s="316"/>
    </row>
    <row r="9" spans="1:10" ht="12.75">
      <c r="A9" s="237" t="s">
        <v>375</v>
      </c>
      <c r="B9" s="156" t="s">
        <v>378</v>
      </c>
      <c r="C9" s="159" t="s">
        <v>75</v>
      </c>
      <c r="D9" s="158">
        <f>D4*4</f>
        <v>1340</v>
      </c>
      <c r="E9" s="158"/>
      <c r="F9" s="190">
        <f t="shared" si="0"/>
        <v>0</v>
      </c>
      <c r="G9" s="291"/>
      <c r="H9" s="174"/>
      <c r="I9" s="316"/>
      <c r="J9" s="316"/>
    </row>
    <row r="10" spans="1:10" ht="20.4">
      <c r="A10" s="237" t="s">
        <v>376</v>
      </c>
      <c r="B10" s="156" t="s">
        <v>370</v>
      </c>
      <c r="C10" s="159" t="s">
        <v>76</v>
      </c>
      <c r="D10" s="158">
        <f>D4*3*0.01*6</f>
        <v>60.300000000000004</v>
      </c>
      <c r="E10" s="158"/>
      <c r="F10" s="190">
        <f aca="true" t="shared" si="1" ref="F10:F11">E10*D10</f>
        <v>0</v>
      </c>
      <c r="G10" s="291"/>
      <c r="H10" s="174"/>
      <c r="I10" s="316"/>
      <c r="J10" s="316"/>
    </row>
    <row r="11" spans="1:10" ht="12.75">
      <c r="A11" s="237" t="s">
        <v>395</v>
      </c>
      <c r="B11" s="156" t="s">
        <v>396</v>
      </c>
      <c r="C11" s="159" t="s">
        <v>72</v>
      </c>
      <c r="D11" s="158">
        <v>6</v>
      </c>
      <c r="E11" s="158"/>
      <c r="F11" s="190">
        <f t="shared" si="1"/>
        <v>0</v>
      </c>
      <c r="G11" s="187"/>
      <c r="H11" s="174"/>
      <c r="I11" s="316"/>
      <c r="J11" s="316"/>
    </row>
    <row r="12" spans="1:10" ht="12.75">
      <c r="A12" s="237"/>
      <c r="B12" s="156" t="s">
        <v>220</v>
      </c>
      <c r="C12" s="159" t="s">
        <v>72</v>
      </c>
      <c r="D12" s="158">
        <v>5</v>
      </c>
      <c r="E12" s="158"/>
      <c r="F12" s="190"/>
      <c r="G12" s="187"/>
      <c r="H12" s="174"/>
      <c r="I12" s="316"/>
      <c r="J12" s="316"/>
    </row>
    <row r="13" spans="1:10" ht="13.8" thickBot="1">
      <c r="A13" s="237" t="s">
        <v>392</v>
      </c>
      <c r="B13" s="156" t="s">
        <v>82</v>
      </c>
      <c r="C13" s="159" t="s">
        <v>76</v>
      </c>
      <c r="D13" s="158">
        <f>D4*0.01</f>
        <v>3.35</v>
      </c>
      <c r="E13" s="158"/>
      <c r="F13" s="190">
        <f aca="true" t="shared" si="2" ref="F13">E13*D13</f>
        <v>0</v>
      </c>
      <c r="G13" s="291"/>
      <c r="H13" s="174"/>
      <c r="I13" s="316"/>
      <c r="J13" s="316"/>
    </row>
    <row r="14" spans="1:13" ht="31.2" thickBot="1">
      <c r="A14" s="237" t="s">
        <v>376</v>
      </c>
      <c r="B14" s="156" t="s">
        <v>456</v>
      </c>
      <c r="C14" s="159" t="s">
        <v>76</v>
      </c>
      <c r="D14" s="158">
        <f>D12*2*0.05*6</f>
        <v>3</v>
      </c>
      <c r="E14" s="158"/>
      <c r="F14" s="190">
        <f aca="true" t="shared" si="3" ref="F14:F15">E14*D14</f>
        <v>0</v>
      </c>
      <c r="G14" s="291"/>
      <c r="H14" s="174"/>
      <c r="I14" s="316"/>
      <c r="J14" s="316"/>
      <c r="K14" s="330" t="s">
        <v>453</v>
      </c>
      <c r="L14" s="332" t="s">
        <v>454</v>
      </c>
      <c r="M14" s="333" t="s">
        <v>454</v>
      </c>
    </row>
    <row r="15" spans="1:13" ht="12.75">
      <c r="A15" s="237" t="s">
        <v>392</v>
      </c>
      <c r="B15" s="156" t="s">
        <v>82</v>
      </c>
      <c r="C15" s="159" t="s">
        <v>76</v>
      </c>
      <c r="D15" s="158">
        <f>D4*0.01</f>
        <v>3.35</v>
      </c>
      <c r="E15" s="158"/>
      <c r="F15" s="190">
        <f t="shared" si="3"/>
        <v>0</v>
      </c>
      <c r="G15" s="291"/>
      <c r="H15" s="174"/>
      <c r="I15" s="316"/>
      <c r="J15" s="316"/>
      <c r="K15" s="334" t="s">
        <v>441</v>
      </c>
      <c r="L15" s="335">
        <v>0</v>
      </c>
      <c r="M15" s="336">
        <v>0</v>
      </c>
    </row>
    <row r="16" spans="1:13" ht="13.8" thickBot="1">
      <c r="A16" s="240"/>
      <c r="B16" s="200"/>
      <c r="C16" s="201"/>
      <c r="D16" s="202"/>
      <c r="E16" s="202"/>
      <c r="F16" s="224"/>
      <c r="G16" s="291"/>
      <c r="H16" s="174"/>
      <c r="I16" s="316"/>
      <c r="J16" s="316"/>
      <c r="K16" s="337" t="s">
        <v>442</v>
      </c>
      <c r="L16" s="338">
        <v>0</v>
      </c>
      <c r="M16" s="339">
        <v>0</v>
      </c>
    </row>
    <row r="17" spans="1:13" ht="13.8" thickBot="1">
      <c r="A17" s="304"/>
      <c r="B17" s="192" t="s">
        <v>406</v>
      </c>
      <c r="C17" s="193"/>
      <c r="D17" s="194"/>
      <c r="E17" s="194"/>
      <c r="F17" s="195"/>
      <c r="G17" s="331">
        <f>SUM(F17:F25)</f>
        <v>0</v>
      </c>
      <c r="H17" s="195">
        <f>G17*1.21</f>
        <v>0</v>
      </c>
      <c r="I17" s="350">
        <f>H17*3</f>
        <v>0</v>
      </c>
      <c r="J17" s="316"/>
      <c r="K17" s="337" t="s">
        <v>443</v>
      </c>
      <c r="L17" s="338">
        <v>0</v>
      </c>
      <c r="M17" s="339">
        <v>0</v>
      </c>
    </row>
    <row r="18" spans="1:13" ht="12.75">
      <c r="A18" s="241"/>
      <c r="B18" s="209" t="s">
        <v>393</v>
      </c>
      <c r="C18" s="205" t="s">
        <v>75</v>
      </c>
      <c r="D18" s="189">
        <f>'Položky I. etp. - zámek, hl. a'!D631</f>
        <v>15.7</v>
      </c>
      <c r="E18" s="189"/>
      <c r="F18" s="190"/>
      <c r="G18" s="291"/>
      <c r="H18" s="174"/>
      <c r="I18" s="316"/>
      <c r="J18" s="316"/>
      <c r="K18" s="337" t="s">
        <v>444</v>
      </c>
      <c r="L18" s="338">
        <v>0.5</v>
      </c>
      <c r="M18" s="339">
        <v>0.5</v>
      </c>
    </row>
    <row r="19" spans="1:13" ht="12.75">
      <c r="A19" s="237" t="s">
        <v>392</v>
      </c>
      <c r="B19" s="156" t="s">
        <v>394</v>
      </c>
      <c r="C19" s="159" t="s">
        <v>75</v>
      </c>
      <c r="D19" s="158">
        <f>D18</f>
        <v>15.7</v>
      </c>
      <c r="E19" s="158"/>
      <c r="F19" s="190">
        <f aca="true" t="shared" si="4" ref="F19:F25">E19*D19</f>
        <v>0</v>
      </c>
      <c r="G19" s="291"/>
      <c r="H19" s="174"/>
      <c r="I19" s="316"/>
      <c r="J19" s="316"/>
      <c r="K19" s="337" t="s">
        <v>445</v>
      </c>
      <c r="L19" s="338">
        <v>2</v>
      </c>
      <c r="M19" s="339">
        <v>1</v>
      </c>
    </row>
    <row r="20" spans="1:13" ht="12.75">
      <c r="A20" s="237" t="s">
        <v>363</v>
      </c>
      <c r="B20" s="156" t="s">
        <v>398</v>
      </c>
      <c r="C20" s="159" t="s">
        <v>75</v>
      </c>
      <c r="D20" s="158">
        <f>D19</f>
        <v>15.7</v>
      </c>
      <c r="E20" s="158"/>
      <c r="F20" s="190">
        <f t="shared" si="4"/>
        <v>0</v>
      </c>
      <c r="G20" s="291"/>
      <c r="H20" s="174"/>
      <c r="I20" s="316"/>
      <c r="J20" s="316"/>
      <c r="K20" s="337" t="s">
        <v>446</v>
      </c>
      <c r="L20" s="338">
        <v>3</v>
      </c>
      <c r="M20" s="339">
        <v>3</v>
      </c>
    </row>
    <row r="21" spans="1:13" ht="12.75">
      <c r="A21" s="237" t="s">
        <v>399</v>
      </c>
      <c r="B21" s="156" t="s">
        <v>397</v>
      </c>
      <c r="C21" s="159" t="s">
        <v>78</v>
      </c>
      <c r="D21" s="158">
        <f>D20*0.03</f>
        <v>0.471</v>
      </c>
      <c r="E21" s="158"/>
      <c r="F21" s="190">
        <f t="shared" si="4"/>
        <v>0</v>
      </c>
      <c r="G21" s="291"/>
      <c r="H21" s="174"/>
      <c r="I21" s="316"/>
      <c r="J21" s="316"/>
      <c r="K21" s="337" t="s">
        <v>447</v>
      </c>
      <c r="L21" s="338">
        <v>3</v>
      </c>
      <c r="M21" s="339">
        <v>3.5</v>
      </c>
    </row>
    <row r="22" spans="1:13" ht="12.75">
      <c r="A22" s="237" t="s">
        <v>374</v>
      </c>
      <c r="B22" s="156" t="s">
        <v>480</v>
      </c>
      <c r="C22" s="159" t="s">
        <v>75</v>
      </c>
      <c r="D22" s="158">
        <f>D18*2</f>
        <v>31.4</v>
      </c>
      <c r="E22" s="158"/>
      <c r="F22" s="190">
        <f t="shared" si="4"/>
        <v>0</v>
      </c>
      <c r="G22" s="291"/>
      <c r="H22" s="174"/>
      <c r="I22" s="316"/>
      <c r="J22" s="316"/>
      <c r="K22" s="337" t="s">
        <v>448</v>
      </c>
      <c r="L22" s="338">
        <v>2</v>
      </c>
      <c r="M22" s="339">
        <v>3.5</v>
      </c>
    </row>
    <row r="23" spans="1:13" ht="12.75">
      <c r="A23" s="237" t="s">
        <v>375</v>
      </c>
      <c r="B23" s="156" t="s">
        <v>378</v>
      </c>
      <c r="C23" s="159" t="s">
        <v>75</v>
      </c>
      <c r="D23" s="158">
        <f>D18*4</f>
        <v>62.8</v>
      </c>
      <c r="E23" s="158"/>
      <c r="F23" s="190">
        <f t="shared" si="4"/>
        <v>0</v>
      </c>
      <c r="G23" s="291"/>
      <c r="H23" s="174"/>
      <c r="I23" s="316"/>
      <c r="J23" s="316"/>
      <c r="K23" s="337" t="s">
        <v>449</v>
      </c>
      <c r="L23" s="338">
        <v>1</v>
      </c>
      <c r="M23" s="339">
        <v>0.5</v>
      </c>
    </row>
    <row r="24" spans="1:13" ht="30.6">
      <c r="A24" s="237" t="s">
        <v>376</v>
      </c>
      <c r="B24" s="156" t="s">
        <v>456</v>
      </c>
      <c r="C24" s="159" t="s">
        <v>76</v>
      </c>
      <c r="D24" s="158">
        <f>D18*2*0.01*6</f>
        <v>1.884</v>
      </c>
      <c r="E24" s="158"/>
      <c r="F24" s="190">
        <f t="shared" si="4"/>
        <v>0</v>
      </c>
      <c r="G24" s="291"/>
      <c r="H24" s="174"/>
      <c r="I24" s="316"/>
      <c r="J24" s="316"/>
      <c r="K24" s="337" t="s">
        <v>450</v>
      </c>
      <c r="L24" s="338">
        <v>0.5</v>
      </c>
      <c r="M24" s="339">
        <v>0</v>
      </c>
    </row>
    <row r="25" spans="1:13" ht="12.75">
      <c r="A25" s="237" t="s">
        <v>392</v>
      </c>
      <c r="B25" s="156" t="s">
        <v>82</v>
      </c>
      <c r="C25" s="159" t="s">
        <v>76</v>
      </c>
      <c r="D25" s="158">
        <f>D18*0.01</f>
        <v>0.157</v>
      </c>
      <c r="E25" s="158"/>
      <c r="F25" s="190">
        <f t="shared" si="4"/>
        <v>0</v>
      </c>
      <c r="G25" s="291"/>
      <c r="H25" s="174"/>
      <c r="I25" s="316"/>
      <c r="J25" s="316"/>
      <c r="K25" s="337" t="s">
        <v>451</v>
      </c>
      <c r="L25" s="338">
        <v>0</v>
      </c>
      <c r="M25" s="339">
        <v>0</v>
      </c>
    </row>
    <row r="26" spans="1:13" ht="13.8" thickBot="1">
      <c r="A26" s="240"/>
      <c r="B26" s="200"/>
      <c r="C26" s="201"/>
      <c r="D26" s="202"/>
      <c r="E26" s="202"/>
      <c r="F26" s="224"/>
      <c r="G26" s="291"/>
      <c r="H26" s="174"/>
      <c r="I26" s="316"/>
      <c r="J26" s="316"/>
      <c r="K26" s="367" t="s">
        <v>452</v>
      </c>
      <c r="L26" s="368">
        <v>0</v>
      </c>
      <c r="M26" s="369">
        <v>0</v>
      </c>
    </row>
    <row r="27" spans="1:13" ht="13.8" thickBot="1">
      <c r="A27" s="304"/>
      <c r="B27" s="192" t="s">
        <v>418</v>
      </c>
      <c r="C27" s="193"/>
      <c r="D27" s="194"/>
      <c r="E27" s="194"/>
      <c r="F27" s="195"/>
      <c r="G27" s="331">
        <f>SUM(F27:F35)</f>
        <v>0</v>
      </c>
      <c r="H27" s="195">
        <f>G27*1.21</f>
        <v>0</v>
      </c>
      <c r="I27" s="350">
        <f>H27*3</f>
        <v>0</v>
      </c>
      <c r="J27" s="316"/>
      <c r="K27" s="370"/>
      <c r="L27" s="371">
        <f>SUM(L15:L26)</f>
        <v>12</v>
      </c>
      <c r="M27" s="372">
        <f>SUM(M15:M26)</f>
        <v>12</v>
      </c>
    </row>
    <row r="28" spans="1:13" ht="13.8" thickBot="1">
      <c r="A28" s="241"/>
      <c r="B28" s="209" t="s">
        <v>393</v>
      </c>
      <c r="C28" s="205" t="s">
        <v>75</v>
      </c>
      <c r="D28" s="189">
        <f>'Položky I. etp. - zámek, hl. a'!D632</f>
        <v>88.5</v>
      </c>
      <c r="E28" s="189"/>
      <c r="F28" s="190"/>
      <c r="G28" s="291"/>
      <c r="H28" s="174"/>
      <c r="I28" s="316"/>
      <c r="J28" s="316"/>
      <c r="K28" s="340" t="s">
        <v>455</v>
      </c>
      <c r="L28" s="341"/>
      <c r="M28" s="342"/>
    </row>
    <row r="29" spans="1:10" ht="12.75">
      <c r="A29" s="237" t="s">
        <v>392</v>
      </c>
      <c r="B29" s="156" t="s">
        <v>394</v>
      </c>
      <c r="C29" s="159" t="s">
        <v>75</v>
      </c>
      <c r="D29" s="158">
        <f>D28</f>
        <v>88.5</v>
      </c>
      <c r="E29" s="158"/>
      <c r="F29" s="190">
        <f aca="true" t="shared" si="5" ref="F29:F35">E29*D29</f>
        <v>0</v>
      </c>
      <c r="G29" s="291"/>
      <c r="H29" s="174"/>
      <c r="I29" s="316"/>
      <c r="J29" s="316"/>
    </row>
    <row r="30" spans="1:10" ht="12.75">
      <c r="A30" s="237" t="s">
        <v>363</v>
      </c>
      <c r="B30" s="156" t="s">
        <v>398</v>
      </c>
      <c r="C30" s="159" t="s">
        <v>75</v>
      </c>
      <c r="D30" s="158">
        <f>D29</f>
        <v>88.5</v>
      </c>
      <c r="E30" s="158"/>
      <c r="F30" s="190">
        <f t="shared" si="5"/>
        <v>0</v>
      </c>
      <c r="G30" s="291"/>
      <c r="H30" s="174"/>
      <c r="I30" s="316"/>
      <c r="J30" s="316"/>
    </row>
    <row r="31" spans="1:10" ht="12.75">
      <c r="A31" s="237" t="s">
        <v>399</v>
      </c>
      <c r="B31" s="156" t="s">
        <v>397</v>
      </c>
      <c r="C31" s="159" t="s">
        <v>78</v>
      </c>
      <c r="D31" s="158">
        <f>D30*0.03</f>
        <v>2.655</v>
      </c>
      <c r="E31" s="158"/>
      <c r="F31" s="190">
        <f t="shared" si="5"/>
        <v>0</v>
      </c>
      <c r="G31" s="291"/>
      <c r="H31" s="174"/>
      <c r="I31" s="316"/>
      <c r="J31" s="316"/>
    </row>
    <row r="32" spans="1:10" ht="12.75">
      <c r="A32" s="237" t="s">
        <v>374</v>
      </c>
      <c r="B32" s="156" t="s">
        <v>480</v>
      </c>
      <c r="C32" s="159" t="s">
        <v>75</v>
      </c>
      <c r="D32" s="158">
        <f>D28*3</f>
        <v>265.5</v>
      </c>
      <c r="E32" s="158"/>
      <c r="F32" s="190">
        <f t="shared" si="5"/>
        <v>0</v>
      </c>
      <c r="G32" s="291"/>
      <c r="H32" s="174"/>
      <c r="I32" s="316"/>
      <c r="J32" s="316"/>
    </row>
    <row r="33" spans="1:10" ht="12.75">
      <c r="A33" s="237" t="s">
        <v>375</v>
      </c>
      <c r="B33" s="156" t="s">
        <v>378</v>
      </c>
      <c r="C33" s="159" t="s">
        <v>75</v>
      </c>
      <c r="D33" s="158">
        <f>D28*4</f>
        <v>354</v>
      </c>
      <c r="E33" s="158"/>
      <c r="F33" s="190">
        <f t="shared" si="5"/>
        <v>0</v>
      </c>
      <c r="G33" s="291"/>
      <c r="H33" s="174"/>
      <c r="I33" s="316"/>
      <c r="J33" s="316"/>
    </row>
    <row r="34" spans="1:10" ht="30.6">
      <c r="A34" s="237" t="s">
        <v>376</v>
      </c>
      <c r="B34" s="156" t="s">
        <v>456</v>
      </c>
      <c r="C34" s="159" t="s">
        <v>76</v>
      </c>
      <c r="D34" s="158">
        <f>D28*2*0.01*6</f>
        <v>10.620000000000001</v>
      </c>
      <c r="E34" s="158"/>
      <c r="F34" s="190">
        <f t="shared" si="5"/>
        <v>0</v>
      </c>
      <c r="G34" s="291"/>
      <c r="H34" s="174"/>
      <c r="I34" s="316"/>
      <c r="J34" s="316"/>
    </row>
    <row r="35" spans="1:10" ht="12.75">
      <c r="A35" s="237" t="s">
        <v>392</v>
      </c>
      <c r="B35" s="156" t="s">
        <v>82</v>
      </c>
      <c r="C35" s="159" t="s">
        <v>76</v>
      </c>
      <c r="D35" s="158">
        <f>D28*0.01</f>
        <v>0.885</v>
      </c>
      <c r="E35" s="158"/>
      <c r="F35" s="190">
        <f t="shared" si="5"/>
        <v>0</v>
      </c>
      <c r="G35" s="291"/>
      <c r="H35" s="174"/>
      <c r="I35" s="316"/>
      <c r="J35" s="316"/>
    </row>
    <row r="36" spans="1:10" ht="13.8" thickBot="1">
      <c r="A36" s="240"/>
      <c r="B36" s="200"/>
      <c r="C36" s="201"/>
      <c r="D36" s="202"/>
      <c r="E36" s="202"/>
      <c r="F36" s="224"/>
      <c r="G36" s="291"/>
      <c r="H36" s="174"/>
      <c r="I36" s="316"/>
      <c r="J36" s="316"/>
    </row>
    <row r="37" spans="1:10" ht="13.8" thickBot="1">
      <c r="A37" s="304"/>
      <c r="B37" s="192" t="str">
        <f>'Položky I. etp. - zámek, hl. a'!B633</f>
        <v>TZ 06.01,02</v>
      </c>
      <c r="C37" s="193"/>
      <c r="D37" s="194"/>
      <c r="E37" s="194"/>
      <c r="F37" s="195"/>
      <c r="G37" s="331">
        <f>SUM(F37:F45)</f>
        <v>0</v>
      </c>
      <c r="H37" s="195">
        <f>G37*1.21</f>
        <v>0</v>
      </c>
      <c r="I37" s="350">
        <f>H37*3</f>
        <v>0</v>
      </c>
      <c r="J37" s="316"/>
    </row>
    <row r="38" spans="1:10" ht="12.75">
      <c r="A38" s="241"/>
      <c r="B38" s="209" t="s">
        <v>393</v>
      </c>
      <c r="C38" s="205" t="s">
        <v>75</v>
      </c>
      <c r="D38" s="189">
        <f>'Položky I. etp. - zámek, hl. a'!D633</f>
        <v>29.7</v>
      </c>
      <c r="E38" s="189"/>
      <c r="F38" s="190"/>
      <c r="G38" s="291"/>
      <c r="H38" s="174"/>
      <c r="I38" s="316"/>
      <c r="J38" s="316"/>
    </row>
    <row r="39" spans="1:10" ht="12.75">
      <c r="A39" s="237" t="s">
        <v>392</v>
      </c>
      <c r="B39" s="156" t="s">
        <v>394</v>
      </c>
      <c r="C39" s="159" t="s">
        <v>75</v>
      </c>
      <c r="D39" s="158">
        <f>D38</f>
        <v>29.7</v>
      </c>
      <c r="E39" s="158"/>
      <c r="F39" s="190">
        <f aca="true" t="shared" si="6" ref="F39:F44">E39*D39</f>
        <v>0</v>
      </c>
      <c r="G39" s="291"/>
      <c r="H39" s="174"/>
      <c r="I39" s="316"/>
      <c r="J39" s="316"/>
    </row>
    <row r="40" spans="1:10" ht="12.75">
      <c r="A40" s="237" t="s">
        <v>363</v>
      </c>
      <c r="B40" s="156" t="s">
        <v>398</v>
      </c>
      <c r="C40" s="159" t="s">
        <v>75</v>
      </c>
      <c r="D40" s="158">
        <f>D39</f>
        <v>29.7</v>
      </c>
      <c r="E40" s="158"/>
      <c r="F40" s="190">
        <f t="shared" si="6"/>
        <v>0</v>
      </c>
      <c r="G40" s="291"/>
      <c r="H40" s="174"/>
      <c r="I40" s="316"/>
      <c r="J40" s="316"/>
    </row>
    <row r="41" spans="1:10" ht="12.75">
      <c r="A41" s="237" t="s">
        <v>399</v>
      </c>
      <c r="B41" s="156" t="s">
        <v>397</v>
      </c>
      <c r="C41" s="159" t="s">
        <v>78</v>
      </c>
      <c r="D41" s="158">
        <f>D40*0.03</f>
        <v>0.8909999999999999</v>
      </c>
      <c r="E41" s="158"/>
      <c r="F41" s="190">
        <f t="shared" si="6"/>
        <v>0</v>
      </c>
      <c r="G41" s="291"/>
      <c r="H41" s="174"/>
      <c r="I41" s="316"/>
      <c r="J41" s="316"/>
    </row>
    <row r="42" spans="1:10" ht="12.75">
      <c r="A42" s="237" t="s">
        <v>374</v>
      </c>
      <c r="B42" s="156" t="s">
        <v>377</v>
      </c>
      <c r="C42" s="159" t="s">
        <v>75</v>
      </c>
      <c r="D42" s="158">
        <f>D38*2</f>
        <v>59.4</v>
      </c>
      <c r="E42" s="158"/>
      <c r="F42" s="190">
        <f t="shared" si="6"/>
        <v>0</v>
      </c>
      <c r="G42" s="291"/>
      <c r="H42" s="174"/>
      <c r="I42" s="316"/>
      <c r="J42" s="316"/>
    </row>
    <row r="43" spans="1:10" ht="12.75">
      <c r="A43" s="237" t="s">
        <v>375</v>
      </c>
      <c r="B43" s="156" t="s">
        <v>378</v>
      </c>
      <c r="C43" s="159" t="s">
        <v>75</v>
      </c>
      <c r="D43" s="158">
        <f>D38*4</f>
        <v>118.8</v>
      </c>
      <c r="E43" s="158"/>
      <c r="F43" s="190">
        <f t="shared" si="6"/>
        <v>0</v>
      </c>
      <c r="G43" s="291"/>
      <c r="H43" s="174"/>
      <c r="I43" s="316"/>
      <c r="J43" s="316"/>
    </row>
    <row r="44" spans="1:10" ht="30.6">
      <c r="A44" s="237" t="s">
        <v>376</v>
      </c>
      <c r="B44" s="156" t="s">
        <v>456</v>
      </c>
      <c r="C44" s="159" t="s">
        <v>76</v>
      </c>
      <c r="D44" s="158">
        <f>D38*2*0.01*6</f>
        <v>3.564</v>
      </c>
      <c r="E44" s="158"/>
      <c r="F44" s="190">
        <f t="shared" si="6"/>
        <v>0</v>
      </c>
      <c r="G44" s="291"/>
      <c r="H44" s="174"/>
      <c r="I44" s="316"/>
      <c r="J44" s="316"/>
    </row>
    <row r="45" spans="1:10" ht="12.75">
      <c r="A45" s="237" t="s">
        <v>392</v>
      </c>
      <c r="B45" s="156" t="s">
        <v>82</v>
      </c>
      <c r="C45" s="159" t="s">
        <v>76</v>
      </c>
      <c r="D45" s="158">
        <f>D38*0.01</f>
        <v>0.297</v>
      </c>
      <c r="E45" s="158"/>
      <c r="F45" s="190">
        <f aca="true" t="shared" si="7" ref="F45">E45*D45</f>
        <v>0</v>
      </c>
      <c r="G45" s="291"/>
      <c r="H45" s="174"/>
      <c r="I45" s="316"/>
      <c r="J45" s="316"/>
    </row>
    <row r="46" spans="1:10" ht="13.8" thickBot="1">
      <c r="A46" s="240"/>
      <c r="B46" s="200"/>
      <c r="C46" s="201"/>
      <c r="D46" s="202"/>
      <c r="E46" s="202"/>
      <c r="F46" s="224"/>
      <c r="G46" s="291"/>
      <c r="H46" s="174"/>
      <c r="I46" s="316"/>
      <c r="J46" s="316"/>
    </row>
    <row r="47" spans="1:10" ht="41.4" thickBot="1">
      <c r="A47" s="318" t="s">
        <v>66</v>
      </c>
      <c r="B47" s="319" t="s">
        <v>67</v>
      </c>
      <c r="C47" s="320" t="s">
        <v>68</v>
      </c>
      <c r="D47" s="321" t="s">
        <v>69</v>
      </c>
      <c r="E47" s="321"/>
      <c r="F47" s="322" t="s">
        <v>71</v>
      </c>
      <c r="G47" s="348" t="s">
        <v>463</v>
      </c>
      <c r="H47" s="308" t="s">
        <v>464</v>
      </c>
      <c r="I47" s="323" t="s">
        <v>465</v>
      </c>
      <c r="J47" s="316"/>
    </row>
    <row r="48" spans="1:10" ht="13.8" thickBot="1">
      <c r="A48" s="304"/>
      <c r="B48" s="192" t="str">
        <f>'Položky I. etp. - zámek, hl. a'!B634</f>
        <v>TZ 07</v>
      </c>
      <c r="C48" s="193"/>
      <c r="D48" s="194"/>
      <c r="E48" s="194"/>
      <c r="F48" s="195"/>
      <c r="G48" s="331">
        <f>SUM(F48:F56)</f>
        <v>0</v>
      </c>
      <c r="H48" s="195">
        <f>G48*1.21</f>
        <v>0</v>
      </c>
      <c r="I48" s="350">
        <f>H48*3</f>
        <v>0</v>
      </c>
      <c r="J48" s="316"/>
    </row>
    <row r="49" spans="1:10" ht="12.75">
      <c r="A49" s="241"/>
      <c r="B49" s="209" t="s">
        <v>393</v>
      </c>
      <c r="C49" s="205" t="s">
        <v>75</v>
      </c>
      <c r="D49" s="189">
        <f>'Položky I. etp. - zámek, hl. a'!D634</f>
        <v>47.7</v>
      </c>
      <c r="E49" s="189"/>
      <c r="F49" s="190"/>
      <c r="G49" s="291"/>
      <c r="H49" s="174"/>
      <c r="I49" s="316"/>
      <c r="J49" s="316"/>
    </row>
    <row r="50" spans="1:10" ht="12.75">
      <c r="A50" s="237" t="s">
        <v>392</v>
      </c>
      <c r="B50" s="156" t="s">
        <v>394</v>
      </c>
      <c r="C50" s="159" t="s">
        <v>75</v>
      </c>
      <c r="D50" s="158">
        <f>D49</f>
        <v>47.7</v>
      </c>
      <c r="E50" s="158"/>
      <c r="F50" s="190">
        <f aca="true" t="shared" si="8" ref="F50:F55">E50*D50</f>
        <v>0</v>
      </c>
      <c r="G50" s="291"/>
      <c r="H50" s="174"/>
      <c r="I50" s="316"/>
      <c r="J50" s="316"/>
    </row>
    <row r="51" spans="1:10" ht="12.75">
      <c r="A51" s="237" t="s">
        <v>363</v>
      </c>
      <c r="B51" s="156" t="s">
        <v>398</v>
      </c>
      <c r="C51" s="159" t="s">
        <v>75</v>
      </c>
      <c r="D51" s="158">
        <f>D50</f>
        <v>47.7</v>
      </c>
      <c r="E51" s="158"/>
      <c r="F51" s="190">
        <f t="shared" si="8"/>
        <v>0</v>
      </c>
      <c r="G51" s="291"/>
      <c r="H51" s="174"/>
      <c r="I51" s="316"/>
      <c r="J51" s="316"/>
    </row>
    <row r="52" spans="1:10" ht="12.75">
      <c r="A52" s="237" t="s">
        <v>399</v>
      </c>
      <c r="B52" s="156" t="s">
        <v>397</v>
      </c>
      <c r="C52" s="159" t="s">
        <v>78</v>
      </c>
      <c r="D52" s="158">
        <f>D51*0.03</f>
        <v>1.431</v>
      </c>
      <c r="E52" s="158"/>
      <c r="F52" s="190">
        <f t="shared" si="8"/>
        <v>0</v>
      </c>
      <c r="G52" s="291"/>
      <c r="H52" s="174"/>
      <c r="I52" s="316"/>
      <c r="J52" s="316"/>
    </row>
    <row r="53" spans="1:10" ht="12.75">
      <c r="A53" s="237" t="s">
        <v>374</v>
      </c>
      <c r="B53" s="156" t="s">
        <v>480</v>
      </c>
      <c r="C53" s="159" t="s">
        <v>75</v>
      </c>
      <c r="D53" s="158">
        <f>D49*2</f>
        <v>95.4</v>
      </c>
      <c r="E53" s="158"/>
      <c r="F53" s="190">
        <f t="shared" si="8"/>
        <v>0</v>
      </c>
      <c r="G53" s="291"/>
      <c r="H53" s="174"/>
      <c r="I53" s="316"/>
      <c r="J53" s="316"/>
    </row>
    <row r="54" spans="1:10" ht="12.75">
      <c r="A54" s="237" t="s">
        <v>375</v>
      </c>
      <c r="B54" s="156" t="s">
        <v>378</v>
      </c>
      <c r="C54" s="159" t="s">
        <v>75</v>
      </c>
      <c r="D54" s="158">
        <f>D49*4</f>
        <v>190.8</v>
      </c>
      <c r="E54" s="158"/>
      <c r="F54" s="190">
        <f t="shared" si="8"/>
        <v>0</v>
      </c>
      <c r="G54" s="291"/>
      <c r="H54" s="174"/>
      <c r="I54" s="316"/>
      <c r="J54" s="316"/>
    </row>
    <row r="55" spans="1:10" ht="30.6">
      <c r="A55" s="237" t="s">
        <v>376</v>
      </c>
      <c r="B55" s="156" t="s">
        <v>456</v>
      </c>
      <c r="C55" s="159" t="s">
        <v>76</v>
      </c>
      <c r="D55" s="158">
        <f>D49*2*0.01*6</f>
        <v>5.724</v>
      </c>
      <c r="E55" s="158"/>
      <c r="F55" s="190">
        <f t="shared" si="8"/>
        <v>0</v>
      </c>
      <c r="G55" s="291"/>
      <c r="H55" s="174"/>
      <c r="I55" s="316"/>
      <c r="J55" s="316"/>
    </row>
    <row r="56" spans="1:10" ht="12.75">
      <c r="A56" s="237" t="s">
        <v>392</v>
      </c>
      <c r="B56" s="156" t="s">
        <v>82</v>
      </c>
      <c r="C56" s="159" t="s">
        <v>76</v>
      </c>
      <c r="D56" s="158">
        <f>D49*0.01</f>
        <v>0.47700000000000004</v>
      </c>
      <c r="E56" s="158"/>
      <c r="F56" s="190">
        <f aca="true" t="shared" si="9" ref="F56">E56*D56</f>
        <v>0</v>
      </c>
      <c r="G56" s="291"/>
      <c r="H56" s="174"/>
      <c r="I56" s="316"/>
      <c r="J56" s="316"/>
    </row>
    <row r="57" spans="1:10" ht="12.75">
      <c r="A57" s="237"/>
      <c r="B57" s="156"/>
      <c r="C57" s="159"/>
      <c r="D57" s="158"/>
      <c r="E57" s="158"/>
      <c r="F57" s="190"/>
      <c r="G57" s="291"/>
      <c r="H57" s="174"/>
      <c r="I57" s="316"/>
      <c r="J57" s="316"/>
    </row>
    <row r="58" spans="1:10" ht="12.75">
      <c r="A58" s="237"/>
      <c r="B58" s="156"/>
      <c r="C58" s="159"/>
      <c r="D58" s="158"/>
      <c r="E58" s="158"/>
      <c r="F58" s="190"/>
      <c r="G58" s="291"/>
      <c r="H58" s="174"/>
      <c r="I58" s="316"/>
      <c r="J58" s="316"/>
    </row>
    <row r="59" spans="1:10" ht="13.8" thickBot="1">
      <c r="A59" s="240"/>
      <c r="B59" s="200"/>
      <c r="C59" s="201"/>
      <c r="D59" s="202"/>
      <c r="E59" s="202"/>
      <c r="F59" s="224"/>
      <c r="G59" s="291"/>
      <c r="H59" s="174"/>
      <c r="I59" s="316"/>
      <c r="J59" s="316"/>
    </row>
    <row r="60" spans="1:10" ht="12.75">
      <c r="A60" s="313"/>
      <c r="B60" s="309" t="s">
        <v>426</v>
      </c>
      <c r="C60" s="310"/>
      <c r="D60" s="214"/>
      <c r="E60" s="214"/>
      <c r="F60" s="215"/>
      <c r="G60" s="291"/>
      <c r="H60" s="174"/>
      <c r="I60" s="316"/>
      <c r="J60" s="316"/>
    </row>
    <row r="61" spans="1:10" ht="13.8" thickBot="1">
      <c r="A61" s="314"/>
      <c r="B61" s="311" t="s">
        <v>388</v>
      </c>
      <c r="C61" s="312" t="s">
        <v>75</v>
      </c>
      <c r="D61" s="217">
        <v>694</v>
      </c>
      <c r="E61" s="217"/>
      <c r="F61" s="300"/>
      <c r="G61" s="291"/>
      <c r="H61" s="174"/>
      <c r="I61" s="316"/>
      <c r="J61" s="316"/>
    </row>
    <row r="62" spans="1:10" ht="31.2" thickBot="1">
      <c r="A62" s="302" t="s">
        <v>98</v>
      </c>
      <c r="B62" s="308" t="s">
        <v>457</v>
      </c>
      <c r="C62" s="207" t="s">
        <v>76</v>
      </c>
      <c r="D62" s="194">
        <f>D61*0.01*2.5*6</f>
        <v>104.10000000000001</v>
      </c>
      <c r="E62" s="194"/>
      <c r="F62" s="195">
        <f t="shared" si="0"/>
        <v>0</v>
      </c>
      <c r="G62" s="331">
        <f>SUM(F62:F71)</f>
        <v>0</v>
      </c>
      <c r="H62" s="195">
        <f>G62*1.21</f>
        <v>0</v>
      </c>
      <c r="I62" s="350">
        <f>H62*3</f>
        <v>0</v>
      </c>
      <c r="J62" s="316"/>
    </row>
    <row r="63" spans="1:10" ht="12.75">
      <c r="A63" s="241" t="s">
        <v>366</v>
      </c>
      <c r="B63" s="209" t="s">
        <v>479</v>
      </c>
      <c r="C63" s="205" t="s">
        <v>75</v>
      </c>
      <c r="D63" s="189">
        <f>D61*24</f>
        <v>16656</v>
      </c>
      <c r="E63" s="189"/>
      <c r="F63" s="190">
        <f t="shared" si="0"/>
        <v>0</v>
      </c>
      <c r="G63" s="291"/>
      <c r="H63" s="174"/>
      <c r="I63" s="316"/>
      <c r="J63" s="316"/>
    </row>
    <row r="64" spans="1:10" ht="12.75">
      <c r="A64" s="237" t="s">
        <v>369</v>
      </c>
      <c r="B64" s="156" t="s">
        <v>365</v>
      </c>
      <c r="C64" s="159" t="s">
        <v>75</v>
      </c>
      <c r="D64" s="158">
        <f>D61*2*2</f>
        <v>2776</v>
      </c>
      <c r="E64" s="158"/>
      <c r="F64" s="190">
        <f t="shared" si="0"/>
        <v>0</v>
      </c>
      <c r="G64" s="291"/>
      <c r="H64" s="174"/>
      <c r="I64" s="316"/>
      <c r="J64" s="316"/>
    </row>
    <row r="65" spans="1:10" ht="12.75">
      <c r="A65" s="237" t="s">
        <v>368</v>
      </c>
      <c r="B65" s="156" t="s">
        <v>373</v>
      </c>
      <c r="C65" s="159" t="s">
        <v>75</v>
      </c>
      <c r="D65" s="158">
        <f>D61</f>
        <v>694</v>
      </c>
      <c r="E65" s="158"/>
      <c r="F65" s="190">
        <f t="shared" si="0"/>
        <v>0</v>
      </c>
      <c r="G65" s="291"/>
      <c r="H65" s="174"/>
      <c r="I65" s="316"/>
      <c r="J65" s="316"/>
    </row>
    <row r="66" spans="1:10" ht="12.75">
      <c r="A66" s="237" t="s">
        <v>364</v>
      </c>
      <c r="B66" s="156" t="s">
        <v>367</v>
      </c>
      <c r="C66" s="159" t="s">
        <v>76</v>
      </c>
      <c r="D66" s="158">
        <f>D61*0.002</f>
        <v>1.3880000000000001</v>
      </c>
      <c r="E66" s="158"/>
      <c r="F66" s="190">
        <f t="shared" si="0"/>
        <v>0</v>
      </c>
      <c r="G66" s="291"/>
      <c r="H66" s="174"/>
      <c r="I66" s="316"/>
      <c r="J66" s="316"/>
    </row>
    <row r="67" spans="1:10" ht="12.75">
      <c r="A67" s="237" t="s">
        <v>363</v>
      </c>
      <c r="B67" s="156" t="s">
        <v>361</v>
      </c>
      <c r="C67" s="159" t="s">
        <v>75</v>
      </c>
      <c r="D67" s="158">
        <f>D61*4</f>
        <v>2776</v>
      </c>
      <c r="E67" s="158"/>
      <c r="F67" s="190">
        <f t="shared" si="0"/>
        <v>0</v>
      </c>
      <c r="G67" s="291"/>
      <c r="H67" s="174"/>
      <c r="I67" s="316"/>
      <c r="J67" s="316"/>
    </row>
    <row r="68" spans="1:10" ht="12.75">
      <c r="A68" s="237" t="s">
        <v>364</v>
      </c>
      <c r="B68" s="156" t="s">
        <v>362</v>
      </c>
      <c r="C68" s="159" t="s">
        <v>78</v>
      </c>
      <c r="D68" s="158">
        <f>D64*0.03</f>
        <v>83.28</v>
      </c>
      <c r="E68" s="158"/>
      <c r="F68" s="190">
        <f aca="true" t="shared" si="10" ref="F68:F71">E68*D68</f>
        <v>0</v>
      </c>
      <c r="G68" s="291"/>
      <c r="H68" s="174"/>
      <c r="I68" s="316"/>
      <c r="J68" s="316"/>
    </row>
    <row r="69" spans="1:10" ht="12.75">
      <c r="A69" s="237" t="s">
        <v>392</v>
      </c>
      <c r="B69" s="156" t="s">
        <v>400</v>
      </c>
      <c r="C69" s="159" t="s">
        <v>76</v>
      </c>
      <c r="D69" s="158">
        <f>D63*0.0005</f>
        <v>8.328</v>
      </c>
      <c r="E69" s="158"/>
      <c r="F69" s="190">
        <f>E69*D69</f>
        <v>0</v>
      </c>
      <c r="G69" s="291"/>
      <c r="H69" s="174"/>
      <c r="I69" s="316"/>
      <c r="J69" s="316"/>
    </row>
    <row r="70" spans="1:10" ht="12.75">
      <c r="A70" s="237" t="s">
        <v>402</v>
      </c>
      <c r="B70" s="156" t="s">
        <v>401</v>
      </c>
      <c r="C70" s="159" t="s">
        <v>75</v>
      </c>
      <c r="D70" s="158">
        <f>D61</f>
        <v>694</v>
      </c>
      <c r="E70" s="158"/>
      <c r="F70" s="190">
        <f t="shared" si="10"/>
        <v>0</v>
      </c>
      <c r="G70" s="291"/>
      <c r="H70" s="174"/>
      <c r="I70" s="316"/>
      <c r="J70" s="316"/>
    </row>
    <row r="71" spans="1:10" ht="13.8" thickBot="1">
      <c r="A71" s="240" t="s">
        <v>372</v>
      </c>
      <c r="B71" s="200" t="s">
        <v>371</v>
      </c>
      <c r="C71" s="201" t="s">
        <v>75</v>
      </c>
      <c r="D71" s="202">
        <f>D61*3</f>
        <v>2082</v>
      </c>
      <c r="E71" s="202"/>
      <c r="F71" s="224">
        <f t="shared" si="10"/>
        <v>0</v>
      </c>
      <c r="G71" s="291"/>
      <c r="H71" s="174"/>
      <c r="I71" s="316"/>
      <c r="J71" s="316"/>
    </row>
    <row r="72" spans="1:10" ht="13.8" thickBot="1">
      <c r="A72" s="302"/>
      <c r="B72" s="206" t="s">
        <v>427</v>
      </c>
      <c r="C72" s="207"/>
      <c r="D72" s="194"/>
      <c r="E72" s="194"/>
      <c r="F72" s="195"/>
      <c r="G72" s="331">
        <f>SUM(F72:F75)</f>
        <v>0</v>
      </c>
      <c r="H72" s="195">
        <f>G72*1.21</f>
        <v>0</v>
      </c>
      <c r="I72" s="350">
        <f>H72*3</f>
        <v>0</v>
      </c>
      <c r="J72" s="316"/>
    </row>
    <row r="73" spans="1:10" ht="20.4">
      <c r="A73" s="241" t="s">
        <v>98</v>
      </c>
      <c r="B73" s="209" t="s">
        <v>428</v>
      </c>
      <c r="C73" s="205" t="s">
        <v>76</v>
      </c>
      <c r="D73" s="189">
        <f>1*0.2*6*3</f>
        <v>3.6000000000000005</v>
      </c>
      <c r="E73" s="189"/>
      <c r="F73" s="190">
        <f aca="true" t="shared" si="11" ref="F73:F75">E73*D73</f>
        <v>0</v>
      </c>
      <c r="G73" s="187"/>
      <c r="H73" s="174"/>
      <c r="I73" s="316"/>
      <c r="J73" s="316"/>
    </row>
    <row r="74" spans="1:10" ht="20.4">
      <c r="A74" s="237" t="s">
        <v>330</v>
      </c>
      <c r="B74" s="156" t="s">
        <v>331</v>
      </c>
      <c r="C74" s="159" t="s">
        <v>72</v>
      </c>
      <c r="D74" s="158">
        <v>1</v>
      </c>
      <c r="E74" s="158"/>
      <c r="F74" s="185">
        <f t="shared" si="11"/>
        <v>0</v>
      </c>
      <c r="G74" s="187"/>
      <c r="H74" s="174"/>
      <c r="I74" s="316"/>
      <c r="J74" s="316"/>
    </row>
    <row r="75" spans="1:10" ht="20.4">
      <c r="A75" s="237" t="s">
        <v>392</v>
      </c>
      <c r="B75" s="156" t="s">
        <v>429</v>
      </c>
      <c r="C75" s="159"/>
      <c r="D75" s="158">
        <v>1</v>
      </c>
      <c r="E75" s="158"/>
      <c r="F75" s="185">
        <f t="shared" si="11"/>
        <v>0</v>
      </c>
      <c r="G75" s="187"/>
      <c r="H75" s="174"/>
      <c r="I75" s="316"/>
      <c r="J75" s="316"/>
    </row>
    <row r="76" spans="1:10" ht="12.75">
      <c r="A76" s="315"/>
      <c r="B76" s="226"/>
      <c r="C76" s="227"/>
      <c r="D76" s="211"/>
      <c r="E76" s="211"/>
      <c r="F76" s="187"/>
      <c r="G76" s="291"/>
      <c r="H76" s="174"/>
      <c r="I76" s="316"/>
      <c r="J76" s="316"/>
    </row>
    <row r="77" spans="1:10" ht="13.8" thickBot="1">
      <c r="A77" s="315"/>
      <c r="B77" s="226"/>
      <c r="C77" s="227"/>
      <c r="D77" s="211"/>
      <c r="E77" s="211"/>
      <c r="F77" s="187"/>
      <c r="G77" s="291"/>
      <c r="H77" s="174"/>
      <c r="I77" s="316"/>
      <c r="J77" s="316"/>
    </row>
    <row r="78" spans="1:9" ht="12.75">
      <c r="A78" s="315"/>
      <c r="B78" s="226"/>
      <c r="C78" s="227"/>
      <c r="D78" s="344"/>
      <c r="E78" s="345"/>
      <c r="F78" s="346" t="s">
        <v>389</v>
      </c>
      <c r="G78" s="351">
        <f>SUM(G1:G75)</f>
        <v>0</v>
      </c>
      <c r="H78" s="352">
        <f>SUM(H1:H75)</f>
        <v>0</v>
      </c>
      <c r="I78" s="353">
        <f>SUM(I1:I75)</f>
        <v>0</v>
      </c>
    </row>
    <row r="79" spans="1:9" ht="12.75">
      <c r="A79" s="354"/>
      <c r="D79" s="355"/>
      <c r="E79" s="356"/>
      <c r="F79" s="343" t="s">
        <v>390</v>
      </c>
      <c r="G79" s="357">
        <f>G78</f>
        <v>0</v>
      </c>
      <c r="H79" s="186">
        <f>H78</f>
        <v>0</v>
      </c>
      <c r="I79" s="358"/>
    </row>
    <row r="80" spans="1:9" ht="12.75">
      <c r="A80" s="354"/>
      <c r="D80" s="355"/>
      <c r="E80" s="356"/>
      <c r="F80" s="343" t="s">
        <v>391</v>
      </c>
      <c r="G80" s="357">
        <f>G79</f>
        <v>0</v>
      </c>
      <c r="H80" s="186">
        <f>H78</f>
        <v>0</v>
      </c>
      <c r="I80" s="358"/>
    </row>
    <row r="81" spans="4:9" ht="12.75">
      <c r="D81" s="355"/>
      <c r="E81" s="356"/>
      <c r="F81" s="343" t="s">
        <v>382</v>
      </c>
      <c r="G81" s="357">
        <f>SUM(G78:G80)</f>
        <v>0</v>
      </c>
      <c r="H81" s="291"/>
      <c r="I81" s="358"/>
    </row>
    <row r="82" spans="4:9" ht="12.75">
      <c r="D82" s="355"/>
      <c r="E82" s="356"/>
      <c r="F82" s="343" t="s">
        <v>383</v>
      </c>
      <c r="G82" s="360">
        <f>H83-G81</f>
        <v>0</v>
      </c>
      <c r="H82" s="291"/>
      <c r="I82" s="358"/>
    </row>
    <row r="83" spans="4:9" ht="13.8" thickBot="1">
      <c r="D83" s="361"/>
      <c r="E83" s="362"/>
      <c r="F83" s="347" t="s">
        <v>434</v>
      </c>
      <c r="G83" s="363">
        <f>G81*1.21</f>
        <v>0</v>
      </c>
      <c r="H83" s="364">
        <f>SUM(H78:H81)</f>
        <v>0</v>
      </c>
      <c r="I83" s="365"/>
    </row>
  </sheetData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>
    <oddHeader>&amp;L&amp;F
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Března</dc:creator>
  <cp:keywords/>
  <dc:description/>
  <cp:lastModifiedBy>x</cp:lastModifiedBy>
  <cp:lastPrinted>2018-04-24T16:55:40Z</cp:lastPrinted>
  <dcterms:created xsi:type="dcterms:W3CDTF">2016-04-13T07:44:46Z</dcterms:created>
  <dcterms:modified xsi:type="dcterms:W3CDTF">2018-04-25T11:41:27Z</dcterms:modified>
  <cp:category/>
  <cp:version/>
  <cp:contentType/>
  <cp:contentStatus/>
</cp:coreProperties>
</file>