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8" yWindow="348" windowWidth="22692" windowHeight="9792" tabRatio="759" activeTab="3"/>
  </bookViews>
  <sheets>
    <sheet name="Titulní list" sheetId="4" r:id="rId1"/>
    <sheet name="Krycí list" sheetId="1" r:id="rId2"/>
    <sheet name="Rekapitulace" sheetId="2" r:id="rId3"/>
    <sheet name="Položky I. etp. - zámek, hl. a" sheetId="13" r:id="rId4"/>
    <sheet name="Péče po dobu tří let" sheetId="14" r:id="rId5"/>
    <sheet name="VV" sheetId="15" r:id="rId6"/>
    <sheet name="VR" sheetId="16" r:id="rId7"/>
  </sheets>
  <externalReferences>
    <externalReference r:id="rId8"/>
    <externalReference r:id="rId9"/>
  </externalReferences>
  <definedNames>
    <definedName name="cisloobjektu" localSheetId="6">'[1]Krycí list'!$A$5</definedName>
    <definedName name="cisloobjektu" localSheetId="5">'[1]Krycí list'!$A$5</definedName>
    <definedName name="cisloobjektu">'Krycí list'!$A$5</definedName>
    <definedName name="Cislostavby" localSheetId="0">'[2]STAVBA CELKEM'!$C$6</definedName>
    <definedName name="cislostavby" localSheetId="6">'[1]Krycí list'!$A$7</definedName>
    <definedName name="cislostavby" localSheetId="5">'[1]Krycí list'!$A$7</definedName>
    <definedName name="cislostavby">'Krycí list'!$A$7</definedName>
    <definedName name="Datum">'Krycí list'!$B$27</definedName>
    <definedName name="Dil">Rekapitulace!$A$6</definedName>
    <definedName name="Do">'[2]STAVBA CELKEM'!#REF!</definedName>
    <definedName name="Dodavka" localSheetId="6">[1]Rekapitulace!$G$13</definedName>
    <definedName name="Dodavka" localSheetId="5">[1]Rekapitulace!$G$13</definedName>
    <definedName name="Dodavka">Rekapitulace!$G$13</definedName>
    <definedName name="Dodavka0" localSheetId="6">#REF!</definedName>
    <definedName name="Dodavka0" localSheetId="5">#REF!</definedName>
    <definedName name="Dodavka0">#REF!</definedName>
    <definedName name="HSV" localSheetId="6">[1]Rekapitulace!$E$13</definedName>
    <definedName name="HSV" localSheetId="5">[1]Rekapitulace!$E$13</definedName>
    <definedName name="HSV">Rekapitulace!$E$13</definedName>
    <definedName name="HSV0" localSheetId="6">#REF!</definedName>
    <definedName name="HSV0" localSheetId="5">#REF!</definedName>
    <definedName name="HSV0">#REF!</definedName>
    <definedName name="HZS" localSheetId="6">[1]Rekapitulace!$I$13</definedName>
    <definedName name="HZS" localSheetId="5">[1]Rekapitulace!$I$13</definedName>
    <definedName name="HZS">Rekapitulace!$I$13</definedName>
    <definedName name="HZS0" localSheetId="6">#REF!</definedName>
    <definedName name="HZS0" localSheetId="5">#REF!</definedName>
    <definedName name="HZS0">#REF!</definedName>
    <definedName name="JKSO">'Krycí list'!$G$2</definedName>
    <definedName name="MJ">'Krycí list'!$G$5</definedName>
    <definedName name="Mont" localSheetId="6">[1]Rekapitulace!$H$13</definedName>
    <definedName name="Mont" localSheetId="5">[1]Rekapitulace!$H$13</definedName>
    <definedName name="Mont">Rekapitulace!$H$13</definedName>
    <definedName name="Montaz0" localSheetId="6">#REF!</definedName>
    <definedName name="Montaz0" localSheetId="5">#REF!</definedName>
    <definedName name="Montaz0">#REF!</definedName>
    <definedName name="NazevDilu">Rekapitulace!$B$6</definedName>
    <definedName name="nazevobjektu" localSheetId="6">'[1]Krycí list'!$C$5</definedName>
    <definedName name="nazevobjektu" localSheetId="5">'[1]Krycí list'!$C$5</definedName>
    <definedName name="nazevobjektu">'Krycí list'!$C$5</definedName>
    <definedName name="Nazevstavby" localSheetId="0">'[2]STAVBA CELKEM'!$E$6</definedName>
    <definedName name="nazevstavby" localSheetId="6">'[1]Krycí list'!$C$7</definedName>
    <definedName name="nazevstavby" localSheetId="5">'[1]Krycí list'!$C$7</definedName>
    <definedName name="nazevstavby">'Krycí list'!$C$7</definedName>
    <definedName name="_xlnm.Print_Titles" localSheetId="2">Rekapitulace!$1:$6</definedName>
    <definedName name="Objednatel">'Krycí list'!$C$10</definedName>
    <definedName name="_xlnm.Print_Area" localSheetId="1">'Krycí list'!$A$1:$G$36</definedName>
    <definedName name="_xlnm.Print_Area" localSheetId="2">Rekapitulace!$A$1:$I$19</definedName>
    <definedName name="_xlnm.Print_Area" localSheetId="0">'Titulní list'!$A$1:$T$49</definedName>
    <definedName name="Od" localSheetId="6">'[2]STAVBA CELKEM'!#REF!</definedName>
    <definedName name="Od" localSheetId="5">'[2]STAVBA CELKEM'!#REF!</definedName>
    <definedName name="Od">'[2]STAVBA CELKEM'!#REF!</definedName>
    <definedName name="paeonia">'Položky I. etp. - zámek, hl. a'!$B$549</definedName>
    <definedName name="PocetMJ" localSheetId="6">'[1]Krycí list'!$G$6</definedName>
    <definedName name="PocetMJ" localSheetId="5">'[1]Krycí list'!$G$6</definedName>
    <definedName name="PocetMJ">'Krycí list'!$G$6</definedName>
    <definedName name="Poznamka" localSheetId="6">'[1]Krycí list'!#REF!</definedName>
    <definedName name="Poznamka" localSheetId="5">'[1]Krycí list'!#REF!</definedName>
    <definedName name="Poznamka">'Krycí list'!#REF!</definedName>
    <definedName name="Projektant" localSheetId="6">'[1]Krycí list'!$C$8</definedName>
    <definedName name="Projektant" localSheetId="5">'[1]Krycí list'!$C$8</definedName>
    <definedName name="Projektant">'Krycí list'!$C$8</definedName>
    <definedName name="PSV" localSheetId="6">[1]Rekapitulace!$F$13</definedName>
    <definedName name="PSV" localSheetId="5">[1]Rekapitulace!$F$13</definedName>
    <definedName name="PSV">Rekapitulace!$F$13</definedName>
    <definedName name="PSV0" localSheetId="6">#REF!</definedName>
    <definedName name="PSV0" localSheetId="5">#REF!</definedName>
    <definedName name="PSV0">#REF!</definedName>
    <definedName name="SazbaDPH1" localSheetId="0">'[2]STAVBA CELKEM'!$C$25</definedName>
    <definedName name="SazbaDPH1" localSheetId="6">'[1]Krycí list'!$C$30</definedName>
    <definedName name="SazbaDPH1" localSheetId="5">'[1]Krycí list'!$C$30</definedName>
    <definedName name="SazbaDPH1">'Krycí list'!$C$30</definedName>
    <definedName name="SazbaDPH2" localSheetId="0">'[2]STAVBA CELKEM'!$C$27</definedName>
    <definedName name="SazbaDPH2" localSheetId="6">'[1]Krycí list'!$C$32</definedName>
    <definedName name="SazbaDPH2" localSheetId="5">'[1]Krycí list'!$C$32</definedName>
    <definedName name="SazbaDPH2">'Krycí list'!$C$32</definedName>
    <definedName name="SloupecCC" localSheetId="6">#REF!</definedName>
    <definedName name="SloupecCC" localSheetId="5">#REF!</definedName>
    <definedName name="SloupecCC">#REF!</definedName>
    <definedName name="SloupecCisloPol" localSheetId="6">#REF!</definedName>
    <definedName name="SloupecCisloPol" localSheetId="5">#REF!</definedName>
    <definedName name="SloupecCisloPol">#REF!</definedName>
    <definedName name="SloupecJC" localSheetId="6">#REF!</definedName>
    <definedName name="SloupecJC" localSheetId="5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 localSheetId="6">[1]Rekapitulace!$H$19</definedName>
    <definedName name="VRN" localSheetId="5">[1]Rekapitulace!$H$19</definedName>
    <definedName name="VRN">Rekapitulace!$H$19</definedName>
    <definedName name="VRNKc">Rekapitulace!$E$18</definedName>
    <definedName name="VRNnazev">Rekapitulace!$A$18</definedName>
    <definedName name="VRNproc">Rekapitulace!$F$18</definedName>
    <definedName name="VRNzakl">Rekapitulace!$G$18</definedName>
    <definedName name="Zakazka" localSheetId="0">'[2]STAVBA CELKEM'!#REF!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5621"/>
</workbook>
</file>

<file path=xl/calcChain.xml><?xml version="1.0" encoding="utf-8"?>
<calcChain xmlns="http://schemas.openxmlformats.org/spreadsheetml/2006/main">
  <c r="D83" i="13" l="1"/>
  <c r="D8" i="14" l="1"/>
  <c r="D15" i="14"/>
  <c r="D63" i="14"/>
  <c r="D234" i="13" l="1"/>
  <c r="D162" i="13" l="1"/>
  <c r="H162" i="13" s="1"/>
  <c r="D79" i="13" l="1"/>
  <c r="H118" i="13" l="1"/>
  <c r="A11" i="2" l="1"/>
  <c r="A10" i="2"/>
  <c r="A7" i="2"/>
  <c r="A9" i="2" l="1"/>
  <c r="B9" i="2"/>
  <c r="A8" i="2"/>
  <c r="B11" i="2"/>
  <c r="B10" i="2"/>
  <c r="B8" i="2"/>
  <c r="B7" i="2"/>
  <c r="D62" i="14" l="1"/>
  <c r="D73" i="14" l="1"/>
  <c r="M27" i="14"/>
  <c r="L27" i="14"/>
  <c r="D14" i="14"/>
  <c r="H154" i="13"/>
  <c r="H155" i="13"/>
  <c r="H156" i="13"/>
  <c r="H157" i="13"/>
  <c r="H158" i="13"/>
  <c r="D159" i="13"/>
  <c r="D30" i="13" l="1"/>
  <c r="G72" i="14" l="1"/>
  <c r="H72" i="14" l="1"/>
  <c r="I72" i="14" s="1"/>
  <c r="I618" i="13"/>
  <c r="D602" i="13"/>
  <c r="D601" i="13"/>
  <c r="D597" i="13"/>
  <c r="D598" i="13" s="1"/>
  <c r="D588" i="13"/>
  <c r="D594" i="13" s="1"/>
  <c r="D586" i="13"/>
  <c r="D585" i="13"/>
  <c r="D584" i="13"/>
  <c r="D583" i="13"/>
  <c r="D575" i="13"/>
  <c r="D558" i="13"/>
  <c r="D547" i="13"/>
  <c r="D553" i="13" s="1"/>
  <c r="D545" i="13"/>
  <c r="D544" i="13"/>
  <c r="D543" i="13"/>
  <c r="D539" i="13"/>
  <c r="D530" i="13"/>
  <c r="D534" i="13" s="1"/>
  <c r="D526" i="13"/>
  <c r="D525" i="13"/>
  <c r="D524" i="13"/>
  <c r="D523" i="13"/>
  <c r="D515" i="13"/>
  <c r="D498" i="13"/>
  <c r="D487" i="13"/>
  <c r="D492" i="13" s="1"/>
  <c r="D484" i="13"/>
  <c r="D483" i="13"/>
  <c r="D479" i="13"/>
  <c r="D480" i="13" s="1"/>
  <c r="D468" i="13"/>
  <c r="D473" i="13" s="1"/>
  <c r="D464" i="13"/>
  <c r="D465" i="13" s="1"/>
  <c r="D462" i="13"/>
  <c r="D461" i="13"/>
  <c r="D469" i="13" s="1"/>
  <c r="D457" i="13"/>
  <c r="D477" i="13" s="1"/>
  <c r="D453" i="13"/>
  <c r="D476" i="13" s="1"/>
  <c r="D430" i="13"/>
  <c r="D437" i="13" s="1"/>
  <c r="D426" i="13"/>
  <c r="D425" i="13"/>
  <c r="D412" i="13"/>
  <c r="D417" i="13" s="1"/>
  <c r="D408" i="13"/>
  <c r="D409" i="13" s="1"/>
  <c r="D407" i="13"/>
  <c r="D403" i="13"/>
  <c r="D402" i="13"/>
  <c r="D413" i="13" s="1"/>
  <c r="D401" i="13"/>
  <c r="D421" i="13" s="1"/>
  <c r="D422" i="13" s="1"/>
  <c r="D398" i="13"/>
  <c r="D404" i="13" s="1"/>
  <c r="D423" i="13" s="1"/>
  <c r="D380" i="13"/>
  <c r="D387" i="13" s="1"/>
  <c r="D388" i="13" s="1"/>
  <c r="D379" i="13" s="1"/>
  <c r="D628" i="13" s="1"/>
  <c r="D631" i="13"/>
  <c r="D49" i="14" s="1"/>
  <c r="D630" i="13"/>
  <c r="D38" i="14" s="1"/>
  <c r="D629" i="13"/>
  <c r="D28" i="14" s="1"/>
  <c r="D35" i="14" s="1"/>
  <c r="B630" i="13"/>
  <c r="B37" i="14" s="1"/>
  <c r="B631" i="13"/>
  <c r="B48" i="14" s="1"/>
  <c r="B629" i="13"/>
  <c r="B628" i="13"/>
  <c r="B627" i="13"/>
  <c r="D55" i="14" l="1"/>
  <c r="D53" i="14"/>
  <c r="D56" i="14"/>
  <c r="D42" i="14"/>
  <c r="D45" i="14"/>
  <c r="D34" i="14"/>
  <c r="D634" i="13"/>
  <c r="G6" i="1" s="1"/>
  <c r="D44" i="14"/>
  <c r="D474" i="13"/>
  <c r="D410" i="13"/>
  <c r="D411" i="13" s="1"/>
  <c r="D554" i="13"/>
  <c r="D587" i="13"/>
  <c r="D466" i="13"/>
  <c r="D418" i="13"/>
  <c r="D489" i="13"/>
  <c r="D490" i="13" s="1"/>
  <c r="D535" i="13"/>
  <c r="D548" i="13"/>
  <c r="D493" i="13"/>
  <c r="D540" i="13"/>
  <c r="D589" i="13"/>
  <c r="D595" i="13"/>
  <c r="D494" i="13"/>
  <c r="D488" i="13"/>
  <c r="D531" i="13"/>
  <c r="D536" i="13"/>
  <c r="D549" i="13"/>
  <c r="D18" i="14"/>
  <c r="D542" i="13"/>
  <c r="D478" i="13"/>
  <c r="D438" i="13"/>
  <c r="D414" i="13"/>
  <c r="D415" i="13"/>
  <c r="D470" i="13"/>
  <c r="D471" i="13"/>
  <c r="D381" i="13"/>
  <c r="D386" i="13"/>
  <c r="D419" i="13"/>
  <c r="D435" i="13"/>
  <c r="D463" i="13"/>
  <c r="D475" i="13"/>
  <c r="D527" i="13"/>
  <c r="D537" i="13"/>
  <c r="D592" i="13"/>
  <c r="D385" i="13"/>
  <c r="D382" i="13"/>
  <c r="D416" i="13"/>
  <c r="D420" i="13"/>
  <c r="D431" i="13"/>
  <c r="D436" i="13"/>
  <c r="D472" i="13"/>
  <c r="D552" i="13"/>
  <c r="D593" i="13"/>
  <c r="D432" i="13"/>
  <c r="D50" i="14"/>
  <c r="D51" i="14" s="1"/>
  <c r="D52" i="14" s="1"/>
  <c r="D54" i="14"/>
  <c r="D29" i="14"/>
  <c r="D30" i="14" s="1"/>
  <c r="D31" i="14" s="1"/>
  <c r="D33" i="14"/>
  <c r="D39" i="14"/>
  <c r="D40" i="14" s="1"/>
  <c r="D41" i="14" s="1"/>
  <c r="D43" i="14"/>
  <c r="D32" i="14"/>
  <c r="D25" i="14" l="1"/>
  <c r="D22" i="14"/>
  <c r="D24" i="14"/>
  <c r="D591" i="13"/>
  <c r="D19" i="14"/>
  <c r="D20" i="14" s="1"/>
  <c r="D21" i="14" s="1"/>
  <c r="D550" i="13"/>
  <c r="D467" i="13"/>
  <c r="D590" i="13"/>
  <c r="D596" i="13"/>
  <c r="D599" i="13"/>
  <c r="D555" i="13"/>
  <c r="D533" i="13"/>
  <c r="D23" i="14"/>
  <c r="D532" i="13"/>
  <c r="D424" i="13"/>
  <c r="D495" i="13"/>
  <c r="D383" i="13"/>
  <c r="G27" i="14"/>
  <c r="D482" i="13"/>
  <c r="D433" i="13"/>
  <c r="D538" i="13"/>
  <c r="D481" i="13"/>
  <c r="D600" i="13"/>
  <c r="D541" i="13"/>
  <c r="I486" i="13" l="1"/>
  <c r="G48" i="14"/>
  <c r="I379" i="13"/>
  <c r="I429" i="13"/>
  <c r="G37" i="14"/>
  <c r="I546" i="13"/>
  <c r="D70" i="14"/>
  <c r="D69" i="14"/>
  <c r="D13" i="14"/>
  <c r="D10" i="14"/>
  <c r="D9" i="14"/>
  <c r="D5" i="14"/>
  <c r="G3" i="14"/>
  <c r="D71" i="14"/>
  <c r="D66" i="14"/>
  <c r="D65" i="14"/>
  <c r="D64" i="14"/>
  <c r="D68" i="14" s="1"/>
  <c r="D67" i="14"/>
  <c r="H15" i="13"/>
  <c r="H23" i="13"/>
  <c r="H58" i="13"/>
  <c r="H59" i="13"/>
  <c r="H93" i="13"/>
  <c r="H94" i="13"/>
  <c r="H95" i="13"/>
  <c r="H96" i="13"/>
  <c r="H97" i="13"/>
  <c r="H100" i="13"/>
  <c r="H101" i="13"/>
  <c r="H125" i="13"/>
  <c r="H128" i="13"/>
  <c r="H129" i="13"/>
  <c r="H130" i="13"/>
  <c r="H131" i="13"/>
  <c r="H132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52" i="13"/>
  <c r="H253" i="13"/>
  <c r="H254" i="13"/>
  <c r="H255" i="13"/>
  <c r="H256" i="13"/>
  <c r="H257" i="13"/>
  <c r="H258" i="13"/>
  <c r="H259" i="13"/>
  <c r="H260" i="13"/>
  <c r="H261" i="13"/>
  <c r="H262" i="13"/>
  <c r="H263" i="13"/>
  <c r="H294" i="13"/>
  <c r="H295" i="13"/>
  <c r="H296" i="13"/>
  <c r="H297" i="13"/>
  <c r="H298" i="13"/>
  <c r="H299" i="13"/>
  <c r="H300" i="13"/>
  <c r="H301" i="13"/>
  <c r="H302" i="13"/>
  <c r="H303" i="13"/>
  <c r="H304" i="13"/>
  <c r="H305" i="13"/>
  <c r="H306" i="13"/>
  <c r="H307" i="13"/>
  <c r="H308" i="13"/>
  <c r="H309" i="13"/>
  <c r="H310" i="13"/>
  <c r="H311" i="13"/>
  <c r="H312" i="13"/>
  <c r="H313" i="13"/>
  <c r="H314" i="13"/>
  <c r="H315" i="13"/>
  <c r="H316" i="13"/>
  <c r="H327" i="13"/>
  <c r="G232" i="13"/>
  <c r="H232" i="13" s="1"/>
  <c r="B375" i="13"/>
  <c r="D372" i="13"/>
  <c r="D371" i="13"/>
  <c r="D370" i="13"/>
  <c r="D369" i="13"/>
  <c r="D368" i="13"/>
  <c r="D367" i="13"/>
  <c r="D365" i="13"/>
  <c r="D364" i="13"/>
  <c r="D358" i="13"/>
  <c r="D356" i="13"/>
  <c r="D354" i="13"/>
  <c r="D353" i="13"/>
  <c r="D351" i="13"/>
  <c r="D347" i="13"/>
  <c r="D343" i="13"/>
  <c r="D332" i="13"/>
  <c r="D338" i="13" s="1"/>
  <c r="D330" i="13"/>
  <c r="H330" i="13" s="1"/>
  <c r="D329" i="13"/>
  <c r="D328" i="13"/>
  <c r="H328" i="13" s="1"/>
  <c r="D325" i="13"/>
  <c r="D317" i="13"/>
  <c r="D290" i="13"/>
  <c r="D289" i="13"/>
  <c r="D283" i="13"/>
  <c r="D282" i="13"/>
  <c r="D281" i="13"/>
  <c r="D277" i="13"/>
  <c r="D275" i="13"/>
  <c r="D274" i="13"/>
  <c r="D273" i="13"/>
  <c r="D272" i="13"/>
  <c r="D287" i="13" s="1"/>
  <c r="D264" i="13"/>
  <c r="D248" i="13"/>
  <c r="D247" i="13"/>
  <c r="D241" i="13"/>
  <c r="D240" i="13"/>
  <c r="D239" i="13"/>
  <c r="D235" i="13"/>
  <c r="D230" i="13"/>
  <c r="D229" i="13"/>
  <c r="D228" i="13"/>
  <c r="D227" i="13"/>
  <c r="D216" i="13"/>
  <c r="D242" i="13" s="1"/>
  <c r="D161" i="13"/>
  <c r="D160" i="13"/>
  <c r="H160" i="13" s="1"/>
  <c r="D151" i="13"/>
  <c r="D150" i="13"/>
  <c r="D144" i="13"/>
  <c r="D143" i="13"/>
  <c r="D138" i="13"/>
  <c r="D137" i="13"/>
  <c r="D134" i="13"/>
  <c r="H134" i="13" s="1"/>
  <c r="D133" i="13"/>
  <c r="D126" i="13"/>
  <c r="D145" i="13" s="1"/>
  <c r="D120" i="13"/>
  <c r="D119" i="13"/>
  <c r="D112" i="13"/>
  <c r="D111" i="13"/>
  <c r="D107" i="13"/>
  <c r="D105" i="13"/>
  <c r="D104" i="13"/>
  <c r="D103" i="13"/>
  <c r="H103" i="13" s="1"/>
  <c r="D102" i="13"/>
  <c r="D98" i="13"/>
  <c r="D114" i="13" s="1"/>
  <c r="D60" i="13"/>
  <c r="B55" i="13"/>
  <c r="D51" i="13"/>
  <c r="B51" i="13"/>
  <c r="B26" i="13"/>
  <c r="D22" i="13"/>
  <c r="D16" i="13"/>
  <c r="D2" i="13"/>
  <c r="B2" i="13"/>
  <c r="E1" i="13"/>
  <c r="B1" i="13"/>
  <c r="D176" i="13"/>
  <c r="D169" i="13"/>
  <c r="D168" i="13"/>
  <c r="D164" i="13"/>
  <c r="D174" i="13"/>
  <c r="S35" i="4"/>
  <c r="I13" i="2"/>
  <c r="C21" i="1" s="1"/>
  <c r="H13" i="2"/>
  <c r="C17" i="1" s="1"/>
  <c r="G13" i="2"/>
  <c r="C18" i="1" s="1"/>
  <c r="H19" i="2"/>
  <c r="G23" i="1" s="1"/>
  <c r="G22" i="1" s="1"/>
  <c r="G18" i="2"/>
  <c r="I18" i="2" s="1"/>
  <c r="C2" i="2"/>
  <c r="C1" i="2"/>
  <c r="C33" i="1"/>
  <c r="F33" i="1" s="1"/>
  <c r="C31" i="1"/>
  <c r="C9" i="1"/>
  <c r="D2" i="1"/>
  <c r="C2" i="1"/>
  <c r="F13" i="2"/>
  <c r="C16" i="1" s="1"/>
  <c r="G17" i="14" l="1"/>
  <c r="D70" i="13"/>
  <c r="D78" i="13"/>
  <c r="G628" i="13"/>
  <c r="H628" i="13" s="1"/>
  <c r="I603" i="13"/>
  <c r="I378" i="13" s="1"/>
  <c r="G631" i="13"/>
  <c r="H631" i="13" s="1"/>
  <c r="H356" i="13"/>
  <c r="H17" i="14"/>
  <c r="I17" i="14" s="1"/>
  <c r="I628" i="13" s="1"/>
  <c r="I629" i="13"/>
  <c r="H27" i="14"/>
  <c r="I27" i="14" s="1"/>
  <c r="I630" i="13"/>
  <c r="H37" i="14"/>
  <c r="I37" i="14" s="1"/>
  <c r="I631" i="13"/>
  <c r="H48" i="14"/>
  <c r="I48" i="14" s="1"/>
  <c r="D28" i="13"/>
  <c r="G629" i="13"/>
  <c r="H629" i="13" s="1"/>
  <c r="D359" i="13"/>
  <c r="D360" i="13" s="1"/>
  <c r="D50" i="13"/>
  <c r="D284" i="13"/>
  <c r="D285" i="13"/>
  <c r="D341" i="13"/>
  <c r="H138" i="13"/>
  <c r="H230" i="13"/>
  <c r="H105" i="13"/>
  <c r="D115" i="13"/>
  <c r="D337" i="13"/>
  <c r="D231" i="13"/>
  <c r="D336" i="13"/>
  <c r="D346" i="13" s="1"/>
  <c r="D352" i="13"/>
  <c r="H229" i="13"/>
  <c r="D118" i="13"/>
  <c r="D276" i="13"/>
  <c r="D245" i="13"/>
  <c r="H273" i="13"/>
  <c r="D116" i="13"/>
  <c r="D243" i="13"/>
  <c r="D165" i="13"/>
  <c r="D167" i="13" s="1"/>
  <c r="D244" i="13"/>
  <c r="D117" i="13"/>
  <c r="D6" i="14"/>
  <c r="G62" i="14"/>
  <c r="H275" i="13"/>
  <c r="D52" i="13"/>
  <c r="D333" i="13"/>
  <c r="D334" i="13" s="1"/>
  <c r="D106" i="13"/>
  <c r="D286" i="13"/>
  <c r="D149" i="13"/>
  <c r="H329" i="13"/>
  <c r="D146" i="13"/>
  <c r="D139" i="13"/>
  <c r="D170" i="13"/>
  <c r="H161" i="13"/>
  <c r="H228" i="13"/>
  <c r="D236" i="13"/>
  <c r="D344" i="13"/>
  <c r="D366" i="13"/>
  <c r="D172" i="13"/>
  <c r="D163" i="13"/>
  <c r="D171" i="13"/>
  <c r="D173" i="13"/>
  <c r="H274" i="13"/>
  <c r="D278" i="13"/>
  <c r="D340" i="13"/>
  <c r="D331" i="13"/>
  <c r="D339" i="13"/>
  <c r="D24" i="13"/>
  <c r="D49" i="13"/>
  <c r="D86" i="13"/>
  <c r="H86" i="13" s="1"/>
  <c r="D61" i="13"/>
  <c r="D74" i="13"/>
  <c r="H104" i="13"/>
  <c r="D108" i="13"/>
  <c r="D113" i="13"/>
  <c r="D148" i="13"/>
  <c r="D147" i="13"/>
  <c r="D135" i="13"/>
  <c r="G630" i="13" l="1"/>
  <c r="H630" i="13" s="1"/>
  <c r="D42" i="13"/>
  <c r="H62" i="14"/>
  <c r="I62" i="14" s="1"/>
  <c r="I625" i="13"/>
  <c r="D363" i="13"/>
  <c r="D361" i="13"/>
  <c r="D362" i="13"/>
  <c r="D342" i="13"/>
  <c r="D166" i="13"/>
  <c r="D246" i="13"/>
  <c r="D288" i="13"/>
  <c r="D7" i="14"/>
  <c r="D335" i="13"/>
  <c r="D140" i="13"/>
  <c r="D238" i="13"/>
  <c r="D237" i="13"/>
  <c r="D63" i="13"/>
  <c r="D67" i="13"/>
  <c r="D73" i="13"/>
  <c r="D65" i="13"/>
  <c r="D71" i="13"/>
  <c r="D62" i="13"/>
  <c r="D88" i="13"/>
  <c r="D87" i="13"/>
  <c r="D345" i="13"/>
  <c r="D280" i="13"/>
  <c r="D279" i="13"/>
  <c r="D84" i="13"/>
  <c r="H84" i="13" s="1"/>
  <c r="H24" i="13"/>
  <c r="D109" i="13"/>
  <c r="D110" i="13"/>
  <c r="H74" i="13"/>
  <c r="D43" i="13" l="1"/>
  <c r="D617" i="13"/>
  <c r="D44" i="13"/>
  <c r="D47" i="13"/>
  <c r="H47" i="13" s="1"/>
  <c r="D48" i="13"/>
  <c r="H177" i="13"/>
  <c r="D177" i="13" s="1"/>
  <c r="I153" i="13" s="1"/>
  <c r="H373" i="13"/>
  <c r="D373" i="13" s="1"/>
  <c r="I619" i="13"/>
  <c r="I641" i="13" s="1"/>
  <c r="D142" i="13"/>
  <c r="D141" i="13"/>
  <c r="H88" i="13"/>
  <c r="D89" i="13"/>
  <c r="D66" i="13"/>
  <c r="H25" i="13"/>
  <c r="D25" i="13" s="1"/>
  <c r="D75" i="13"/>
  <c r="D76" i="13"/>
  <c r="D69" i="13"/>
  <c r="D80" i="13"/>
  <c r="D72" i="13"/>
  <c r="D45" i="13" l="1"/>
  <c r="H3" i="14"/>
  <c r="G78" i="14"/>
  <c r="G79" i="14" s="1"/>
  <c r="G80" i="14" s="1"/>
  <c r="G81" i="14" s="1"/>
  <c r="H348" i="13"/>
  <c r="D348" i="13" s="1"/>
  <c r="I292" i="13" s="1"/>
  <c r="H121" i="13"/>
  <c r="D121" i="13" s="1"/>
  <c r="I91" i="13" s="1"/>
  <c r="I349" i="13"/>
  <c r="H291" i="13"/>
  <c r="D291" i="13" s="1"/>
  <c r="I250" i="13" s="1"/>
  <c r="H249" i="13"/>
  <c r="D249" i="13" s="1"/>
  <c r="I178" i="13" s="1"/>
  <c r="H79" i="13"/>
  <c r="D77" i="13"/>
  <c r="H77" i="13" s="1"/>
  <c r="D81" i="13"/>
  <c r="I6" i="13"/>
  <c r="G625" i="13" l="1"/>
  <c r="H625" i="13" s="1"/>
  <c r="G621" i="13"/>
  <c r="H621" i="13" s="1"/>
  <c r="G637" i="13"/>
  <c r="E11" i="2" s="1"/>
  <c r="G83" i="14"/>
  <c r="H78" i="14"/>
  <c r="I3" i="14"/>
  <c r="I78" i="14" s="1"/>
  <c r="G624" i="13"/>
  <c r="H624" i="13" s="1"/>
  <c r="H152" i="13"/>
  <c r="D152" i="13" s="1"/>
  <c r="I123" i="13" s="1"/>
  <c r="G619" i="13" l="1"/>
  <c r="G622" i="13"/>
  <c r="H622" i="13" s="1"/>
  <c r="G623" i="13"/>
  <c r="H623" i="13" s="1"/>
  <c r="H54" i="13"/>
  <c r="D54" i="13" s="1"/>
  <c r="H619" i="13"/>
  <c r="H637" i="13"/>
  <c r="H79" i="14"/>
  <c r="H80" i="14"/>
  <c r="H90" i="13"/>
  <c r="D90" i="13" s="1"/>
  <c r="G616" i="13"/>
  <c r="E7" i="2" s="1"/>
  <c r="G620" i="13" l="1"/>
  <c r="H620" i="13" s="1"/>
  <c r="I27" i="13"/>
  <c r="I57" i="13"/>
  <c r="H83" i="14"/>
  <c r="G82" i="14" s="1"/>
  <c r="H616" i="13"/>
  <c r="G632" i="13" l="1"/>
  <c r="I377" i="13"/>
  <c r="E10" i="2"/>
  <c r="G618" i="13"/>
  <c r="E9" i="2" s="1"/>
  <c r="G617" i="13" l="1"/>
  <c r="H617" i="13" s="1"/>
  <c r="H618" i="13"/>
  <c r="H641" i="13" s="1"/>
  <c r="G639" i="13" l="1"/>
  <c r="G640" i="13" s="1"/>
  <c r="G641" i="13" s="1"/>
  <c r="E8" i="2"/>
  <c r="E13" i="2" s="1"/>
  <c r="C15" i="1" s="1"/>
  <c r="C19" i="1" s="1"/>
  <c r="C22" i="1" s="1"/>
  <c r="C23" i="1" s="1"/>
  <c r="F30" i="1" s="1"/>
  <c r="F31" i="1" s="1"/>
  <c r="F34" i="1" s="1"/>
  <c r="I5" i="13"/>
  <c r="G7" i="1" l="1"/>
</calcChain>
</file>

<file path=xl/sharedStrings.xml><?xml version="1.0" encoding="utf-8"?>
<sst xmlns="http://schemas.openxmlformats.org/spreadsheetml/2006/main" count="2434" uniqueCount="758">
  <si>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</si>
  <si>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</si>
  <si>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</si>
  <si>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</si>
  <si>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</si>
  <si>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</si>
  <si>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</si>
  <si>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</si>
  <si>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</si>
  <si>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</si>
  <si>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</si>
  <si>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</si>
  <si>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</si>
  <si>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</si>
  <si>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</si>
  <si>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</si>
  <si>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</si>
  <si>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</si>
  <si>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</si>
  <si>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</si>
  <si>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</si>
  <si>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</si>
  <si>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</si>
  <si>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</si>
  <si>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</si>
  <si>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</si>
  <si>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</si>
  <si>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</si>
  <si>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</si>
  <si>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</si>
  <si>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</si>
  <si>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</si>
  <si>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</si>
  <si>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</si>
  <si>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</si>
  <si>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</si>
  <si>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</si>
  <si>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</si>
  <si>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</si>
  <si>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</si>
  <si>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</si>
  <si>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</si>
  <si>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</si>
  <si>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</si>
  <si>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</si>
  <si>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</si>
  <si>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</si>
  <si>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</si>
  <si>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</si>
  <si>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</si>
  <si>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</si>
  <si>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</si>
  <si>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</si>
  <si>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</si>
  <si>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</si>
  <si>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</si>
  <si>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</si>
  <si>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</si>
  <si>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</si>
  <si>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</si>
  <si>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</si>
  <si>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</si>
  <si>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</si>
  <si>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</si>
  <si>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</si>
  <si>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</si>
  <si>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Číslo položky</t>
  </si>
  <si>
    <t>Název položky</t>
  </si>
  <si>
    <t>MJ</t>
  </si>
  <si>
    <t>množství</t>
  </si>
  <si>
    <t>cena / MJ</t>
  </si>
  <si>
    <t>celkem (Kč)</t>
  </si>
  <si>
    <t>ks</t>
  </si>
  <si>
    <t>Celkem za</t>
  </si>
  <si>
    <t>823.27</t>
  </si>
  <si>
    <t>m2</t>
  </si>
  <si>
    <t>m3</t>
  </si>
  <si>
    <t>t</t>
  </si>
  <si>
    <t>kg</t>
  </si>
  <si>
    <t>R-položka</t>
  </si>
  <si>
    <t>MHMP</t>
  </si>
  <si>
    <t>K O N T R O L N Í     R O Z P O Č E T</t>
  </si>
  <si>
    <t>odpad</t>
  </si>
  <si>
    <t>111 15-1421</t>
  </si>
  <si>
    <t xml:space="preserve">Odstranění  stařiny  z cca 50% plochy, přes 100-500m2 v rovině </t>
  </si>
  <si>
    <t>poznámka</t>
  </si>
  <si>
    <t>materiál</t>
  </si>
  <si>
    <t>167 10-1101</t>
  </si>
  <si>
    <t>Nakládání sypaniny</t>
  </si>
  <si>
    <t>167 10-1103</t>
  </si>
  <si>
    <t>Skládání sypaniny</t>
  </si>
  <si>
    <t>183 40 -3114</t>
  </si>
  <si>
    <t>184 40 -3153</t>
  </si>
  <si>
    <t>183 11-1112</t>
  </si>
  <si>
    <t>Hloubení jamek do 0,005m3 bez výměny půdy, v rovině</t>
  </si>
  <si>
    <t>185 80 -2114</t>
  </si>
  <si>
    <t>181 41-1141</t>
  </si>
  <si>
    <t>183 40-3327</t>
  </si>
  <si>
    <t>185 80 - 4311</t>
  </si>
  <si>
    <t>Zalití rostlin vodou po výsadbě, výsevu, plochy jednotlivě 20l/m2, ve dvou dávkách</t>
  </si>
  <si>
    <t>998 23-1311</t>
  </si>
  <si>
    <t>Přesun hmot pro sadovnické a krajinářské úpravy vodorovně do 5000 m</t>
  </si>
  <si>
    <t>Poznámky:</t>
  </si>
  <si>
    <t>Štěrk 4/8 (hmotnost sypaného kameniva 1,5t/m3), ztratné 5%</t>
  </si>
  <si>
    <t>t/jedn.</t>
  </si>
  <si>
    <t>bm</t>
  </si>
  <si>
    <t>l</t>
  </si>
  <si>
    <t>Kácení a odstraňování dřevin</t>
  </si>
  <si>
    <t>112 15-1111</t>
  </si>
  <si>
    <t>Pěstební opatření</t>
  </si>
  <si>
    <t>111 21-2211</t>
  </si>
  <si>
    <t>Odstranění nevhodných dřevin o průměru kmene do  100 mm, v do 1m, s odstraněním pařezu do 100m2v rovině nebo na svahu 1:5</t>
  </si>
  <si>
    <t>184 85-2413</t>
  </si>
  <si>
    <t>184 80-6171</t>
  </si>
  <si>
    <t>Amelanchier lamarckii</t>
  </si>
  <si>
    <t>HTÚ / JTÚ</t>
  </si>
  <si>
    <t>Odstranění organických zbytků</t>
  </si>
  <si>
    <t>Rozrušení půdy v rovině do 500m2na hl. přes 50 do 150 mm v rovině, s ohledem na kořenový prostor stromů</t>
  </si>
  <si>
    <t>183 40-2121</t>
  </si>
  <si>
    <t>Herbicid totální  (např Roundup)</t>
  </si>
  <si>
    <t>184 10-2111</t>
  </si>
  <si>
    <t>184 91-1421</t>
  </si>
  <si>
    <t>Výsadba dřevin s balem do předem vyhloubené jamky v rovině při průměru balu 100-200mmm</t>
  </si>
  <si>
    <t>Štěrk 4/8 (hmotnost sypaného kameniva 1,5t/m3), ztratné 5%, vrstva 4,5cm</t>
  </si>
  <si>
    <t>Hnojení umělým hnojivem s rozdělením k jednotlivým rostlinám v rovině</t>
  </si>
  <si>
    <t>Obdělání půdy kultivátorováním v rovině, 2x (zapravení kameniva), v rovině</t>
  </si>
  <si>
    <t>Obdělání půdy hrabáním v rovině, 2x</t>
  </si>
  <si>
    <t>Renovace výsadeb ČHMU Komořany</t>
  </si>
  <si>
    <t>ČHMÚ v Praze - Komořanech</t>
  </si>
  <si>
    <t>Ceny a dostupnost rostlin je nutné včas prověřit.</t>
  </si>
  <si>
    <t>Použité ceníky: URS, HSV 2017 800-1 Zemní práce, HSV 2017 823 -1 Plochy a úprava území, 823 - 2 Rekultivace</t>
  </si>
  <si>
    <t xml:space="preserve">Doplnění substrátu  dle specifikace včetně dopravy </t>
  </si>
  <si>
    <t>Výsadba rostlin dle jednotlivých záhonů</t>
  </si>
  <si>
    <t>5</t>
  </si>
  <si>
    <t>HTÚ záhony</t>
  </si>
  <si>
    <t>112 21-1213</t>
  </si>
  <si>
    <t>Odstranění pařezu ručně, v rovině o průměru kmene přes 300 do 400mm</t>
  </si>
  <si>
    <t>m2,ks</t>
  </si>
  <si>
    <t>184 80-2111</t>
  </si>
  <si>
    <t>182 30-1102</t>
  </si>
  <si>
    <t>Hloubení jamek do 0,002m3 bez výměny půdy, v rovině</t>
  </si>
  <si>
    <t>Úprava terénu HTÚ</t>
  </si>
  <si>
    <t>Substrát Stauden substrat Gramoflor Supergrob 70/30 90 Ton, ztratné 5 %</t>
  </si>
  <si>
    <t>Jemná kůra 8-15mm, ztratné 5%, vrstva  5cm</t>
  </si>
  <si>
    <t>Substrát Stauden substrat Gramoflor Supergrob 70/30 90 TON, ztratné 5% , vrstva 4,5cm</t>
  </si>
  <si>
    <t>Vytyčení záhonu a rostlin</t>
  </si>
  <si>
    <t xml:space="preserve">Roxory 800 x 12 mm </t>
  </si>
  <si>
    <t>Mulčování vysazených rostlin do 100mm, v rovině, vrstva 5cm</t>
  </si>
  <si>
    <t>Odvoz a likvidace odpadu, skládkovné</t>
  </si>
  <si>
    <t xml:space="preserve">Odvoz a likvidace odpadu, skládkovné -keře  </t>
  </si>
  <si>
    <t>Plocha celkem</t>
  </si>
  <si>
    <t>Vyznačení míst určených ke zpracování půdy</t>
  </si>
  <si>
    <t>Voda pro zálivku je předpokládána ze zdroje investora.</t>
  </si>
  <si>
    <t>MAIL.: pereny@email.cz</t>
  </si>
  <si>
    <t>TEL.: 608 850 800</t>
  </si>
  <si>
    <t>IČO: 66413974</t>
  </si>
  <si>
    <t>SCHNIRCHOVA 1084/29 PRAHA 7 - HOLEŠOVICE 170 00 PRAHA 7</t>
  </si>
  <si>
    <t>ZPRACOVATEL: ING. ONDŘEJ FOUS</t>
  </si>
  <si>
    <t>DIČ: CZ7608201040</t>
  </si>
  <si>
    <t>Trvalky</t>
  </si>
  <si>
    <t>Keře</t>
  </si>
  <si>
    <t>Zámecké nádvoří</t>
  </si>
  <si>
    <t>Pokácení stromu směrové v celku o průměru kmene přes 100 do 200mm Tilia cordata</t>
  </si>
  <si>
    <t>Nálety  a keře keřová skupina - odstraňované</t>
  </si>
  <si>
    <t>obvodová redukce stromů</t>
  </si>
  <si>
    <t>Zmlazení  keřů o průměru koruny do 1,5m</t>
  </si>
  <si>
    <t>přesazení keřů Rhododenron 5ks</t>
  </si>
  <si>
    <t>Odstranění pařezu ručně, v rovině o průměru kmene přes 100 do 200mm</t>
  </si>
  <si>
    <t>184 40-1112</t>
  </si>
  <si>
    <t>Příprava dřeviny k přesazení s balem přes 0,8-1m pr., v rovině  nebo na svahu do 1:5 Rhododenron 5ks</t>
  </si>
  <si>
    <t>183 10-1221</t>
  </si>
  <si>
    <t>hloubení jamky s 50% výmšěnou půdy , v rovině nebo na svahu do 1:5 pr balu přes 0,4 do 1 m3  (270l bal)</t>
  </si>
  <si>
    <t>184 10-2117</t>
  </si>
  <si>
    <t>výsadba dřeviny s balem v rovině nebo na svahu do 1:5, pr balu od 0,8 do 1 m</t>
  </si>
  <si>
    <t>184 85-2414</t>
  </si>
  <si>
    <t>184 85-2412</t>
  </si>
  <si>
    <t>Zdravotní řez stromu, lezeckou technikou Acer platanoides, plocha koruny stromu do 240m2</t>
  </si>
  <si>
    <t>184 85-2218</t>
  </si>
  <si>
    <t>112 21-1211</t>
  </si>
  <si>
    <t>Stromy kácení</t>
  </si>
  <si>
    <t>úplná výměna lože</t>
  </si>
  <si>
    <t>TZ 01.01</t>
  </si>
  <si>
    <t>TZ 01.02</t>
  </si>
  <si>
    <t>TZ 02</t>
  </si>
  <si>
    <t>TZ 03</t>
  </si>
  <si>
    <t>KS 01</t>
  </si>
  <si>
    <t>KS 02</t>
  </si>
  <si>
    <t>PS 01</t>
  </si>
  <si>
    <t>trávník</t>
  </si>
  <si>
    <t>JTÚ do 5 cm trávník</t>
  </si>
  <si>
    <t>HTÚ do 10 cm záhony</t>
  </si>
  <si>
    <t>181 11-1111</t>
  </si>
  <si>
    <t>Plošná úprava terénu, při nerovnostech od 50-100mm, v rovině</t>
  </si>
  <si>
    <t>Tilia x europaea</t>
  </si>
  <si>
    <t>20-25</t>
  </si>
  <si>
    <t>Taxus baccata Repandens 20-30</t>
  </si>
  <si>
    <t>Geranium x cantabrigiense Biokovo p9</t>
  </si>
  <si>
    <t>Geranium x cantabrigiense Karmina p9</t>
  </si>
  <si>
    <t>Rozprostření štěrku - doplnění substrátu v rovině, přes 100 do 150mm</t>
  </si>
  <si>
    <t>183 21-1322</t>
  </si>
  <si>
    <t>Výsadba květin do předem připravené půdy, v rovině, hrnkovaných pr květináče od 80 do 120mm</t>
  </si>
  <si>
    <t>183 11-1111</t>
  </si>
  <si>
    <t>Alchemilla mollis</t>
  </si>
  <si>
    <t>Aquilegia vulgaris mix cvs.</t>
  </si>
  <si>
    <t>Asclepias tuberosa</t>
  </si>
  <si>
    <t>Aster novae-angliae ´Marina Wolkonsky´</t>
  </si>
  <si>
    <t>Athyrium filix-femina</t>
  </si>
  <si>
    <t>Brunnera macrophylla</t>
  </si>
  <si>
    <t>Buglossoides purpurocaerulea</t>
  </si>
  <si>
    <t>Echinacea pallida</t>
  </si>
  <si>
    <t>Euphorbia polychroma</t>
  </si>
  <si>
    <t>Geranium x magnificum</t>
  </si>
  <si>
    <t>Polygonatum multiflorum</t>
  </si>
  <si>
    <t>Schizachyrium scoparium</t>
  </si>
  <si>
    <t>Sporobolus heterolepis</t>
  </si>
  <si>
    <t>Thalictrum aquilegiifolium</t>
  </si>
  <si>
    <t>Thermopsis caroliniana</t>
  </si>
  <si>
    <t>Allium molly</t>
  </si>
  <si>
    <t>jemně drcená kůra 8-15 mm</t>
  </si>
  <si>
    <t>Ajuga reptans ´Catlin´s Giant´</t>
  </si>
  <si>
    <t>Rhododendron (přesazované) 150-180cm</t>
  </si>
  <si>
    <t>Ajuga reptans ´Catlin´s Giant´ p9</t>
  </si>
  <si>
    <t>Waldsteinia ternata p9</t>
  </si>
  <si>
    <t>182 30-1125</t>
  </si>
  <si>
    <t>Rozprostření a urovnání substrátu v rovině, přes 250 do 300mm</t>
  </si>
  <si>
    <t>121 11-2112</t>
  </si>
  <si>
    <t>Sejmutí ornice ručně vrsva celkem -30cm, s vodorovným přemístěním do 50m</t>
  </si>
  <si>
    <t>Rhododendrony 10ks/keř, trvalky 1 tabletu/ rostlinu</t>
  </si>
  <si>
    <t>Acer rubrum 'October Glory'</t>
  </si>
  <si>
    <t>Buddleia davidii ´Black Knight´</t>
  </si>
  <si>
    <t>Buddleia davidii ´White Profusion´</t>
  </si>
  <si>
    <t>Aconitum ´Spark´s Variety´</t>
  </si>
  <si>
    <t>Anemone x hybrida ´Andrea Atkinson´</t>
  </si>
  <si>
    <t>Anemone hupehensis var. japonica ´Pamina´</t>
  </si>
  <si>
    <t>Aster novae-angliae ´Andenken an Alma Pötschke´</t>
  </si>
  <si>
    <t>Aster lateriflorus ´Lady in Black´</t>
  </si>
  <si>
    <t>Aster pilosus var. pringlei ´Monte Cassino´</t>
  </si>
  <si>
    <t>Aster ericoides ´Pink Star´</t>
  </si>
  <si>
    <t>Aster lateriflorus ´Prince´</t>
  </si>
  <si>
    <t>Aster novae - angliae ´Purple Dome´</t>
  </si>
  <si>
    <t>Aster ericoides ´Snow Flurry´</t>
  </si>
  <si>
    <t>Aster ageratoides ´Stardust´</t>
  </si>
  <si>
    <t>Aster ageratoides ´Starshine´</t>
  </si>
  <si>
    <t>Baptisia australis ´Violet Blue´</t>
  </si>
  <si>
    <t>Bergenia ´Eroica´</t>
  </si>
  <si>
    <t>Coreopsis verticillata ´Moonbeam´</t>
  </si>
  <si>
    <t>Epimedium x perralchicum ´Fröhnleiten´</t>
  </si>
  <si>
    <t>Euphorbia amygdaloides ´Purpurea´</t>
  </si>
  <si>
    <t>Geranium x cantabrigiense ´Biokovo´</t>
  </si>
  <si>
    <t>Geranium x cantabrigiense ´Karmina´</t>
  </si>
  <si>
    <t>Geum coccineum ´Borisii´</t>
  </si>
  <si>
    <t>Hakonechloa macra ´Albolineata´</t>
  </si>
  <si>
    <t>Helianthemum ´Ben Fhada´</t>
  </si>
  <si>
    <t>Helianthemum ´Hartswood Ruby´</t>
  </si>
  <si>
    <t>Helenium ´Moerheim Beauty´</t>
  </si>
  <si>
    <t>Helianthemum ´The Bride´</t>
  </si>
  <si>
    <t>Heliopsis helianthoides ´Venus´</t>
  </si>
  <si>
    <t>Helianthemum ´Wisley Pink´</t>
  </si>
  <si>
    <t>Helianthemum ´Wisley Primrose´</t>
  </si>
  <si>
    <t>Hemerocallis ´Brilliant Circle´</t>
  </si>
  <si>
    <t>Hemerocallis ´Lavender Deal´</t>
  </si>
  <si>
    <t>Hemerocallis ´Pardon Me´</t>
  </si>
  <si>
    <t>Hemerocallis ´Yellow Lollipop´</t>
  </si>
  <si>
    <t>Hosta ´Blue Angel´</t>
  </si>
  <si>
    <t>Hosta ´Second Wind´</t>
  </si>
  <si>
    <t>Iberis ´Alexander´s White´</t>
  </si>
  <si>
    <t>Lavandula ´Hidcote´</t>
  </si>
  <si>
    <t>Miscanthus sinensis ´Kleine Silberspinne´</t>
  </si>
  <si>
    <t>Nepeta x faassenii ´Kit Cat´</t>
  </si>
  <si>
    <t>Peonia lactiflora ´Bowl of Beauty´</t>
  </si>
  <si>
    <t>Paeonia lactiflora ´Jan van Leeuwen´</t>
  </si>
  <si>
    <t>Paeonia lactiflora ´Sword Dance´</t>
  </si>
  <si>
    <t>Panicum virgatum ´Dallas Blues´</t>
  </si>
  <si>
    <t>Panicum virgatum ´Shenandoah´</t>
  </si>
  <si>
    <t>Veronicastrum virginicum ´Album´</t>
  </si>
  <si>
    <t>Veronicastrum virginicum ´Erica´</t>
  </si>
  <si>
    <t>Veronicastrum virginicum ´Fascination´</t>
  </si>
  <si>
    <t>Veronicastrum virginicum ´Red Arrows´</t>
  </si>
  <si>
    <t>Allium aflatunense ´Purple Sensation´</t>
  </si>
  <si>
    <t>Chionodoxa ´Pink Giant´</t>
  </si>
  <si>
    <t>Narcissus ´Actaea´</t>
  </si>
  <si>
    <t>Narcissus ´Ice Wings´</t>
  </si>
  <si>
    <t>Narcissus ´Peeping Tom´</t>
  </si>
  <si>
    <t>Scilla siberica ´Spring Beauty´</t>
  </si>
  <si>
    <t>Tulipa ´Lilac Wonder´</t>
  </si>
  <si>
    <t>Tulipa ´Ballerina´</t>
  </si>
  <si>
    <t>Tulipa ´Flaming Spring Green´</t>
  </si>
  <si>
    <t>Tulipa ´Jan Reus´</t>
  </si>
  <si>
    <t>Tulipa ´Purple Dream´</t>
  </si>
  <si>
    <t>Tulipa ´Spring Green´</t>
  </si>
  <si>
    <t>Tulipa ´West Point´</t>
  </si>
  <si>
    <t>Tulipa ´White Triumphator´</t>
  </si>
  <si>
    <t xml:space="preserve">materiál </t>
  </si>
  <si>
    <t>TZ 01.01 a 01.02</t>
  </si>
  <si>
    <t>Obdělání půdy hrabáním v rovině,  2x</t>
  </si>
  <si>
    <t>183 21-1313</t>
  </si>
  <si>
    <t>Výsadba cibulí do předem připravené půdy, v rovině</t>
  </si>
  <si>
    <t>Viburnum  x burkwoodii 60/80</t>
  </si>
  <si>
    <t>Trávník I. třída</t>
  </si>
  <si>
    <t>lokálne 50mm ornice doplnění 20%</t>
  </si>
  <si>
    <t>Chemické odplevelení postřikem na široko před založením kultury 2x, 2/3 plochy</t>
  </si>
  <si>
    <t>JTÚ</t>
  </si>
  <si>
    <t>Chemické odplevelení postřikem na široko před založením kultury 2x, 20% plochy</t>
  </si>
  <si>
    <t>odvoz a likvidace odpadu cca 1cm z celé plochy</t>
  </si>
  <si>
    <t>183 40-3161</t>
  </si>
  <si>
    <t>Obdělání půdy válením, v rovině,  2x</t>
  </si>
  <si>
    <t>zasekání ve dvou směrech do 7mm (hrabání 2x) Obdělání půdy hrabáním v rovině</t>
  </si>
  <si>
    <t>Plošná úprava terénu, při nerovnostech od 50-100mm, v rovině (včetně HTÚ s nerovnostmi nad 10cm)</t>
  </si>
  <si>
    <t>Rozprostření substrátu v rovině, do 100mm</t>
  </si>
  <si>
    <t>substrát místní drnovka a lokálně dovezená tříděná ornice</t>
  </si>
  <si>
    <t>185 80-2113</t>
  </si>
  <si>
    <t>hnojení 30gNPK/m2, umělým hnojivem na široko</t>
  </si>
  <si>
    <t>Obdělání půdy válením po první seči 2x</t>
  </si>
  <si>
    <t>Zalití rostlin vodou po výsadbě, výsevu, plochy jednotlivě 20l/m2, ve dvou dávkách posobě jdoucích, cena za jednu zálivku</t>
  </si>
  <si>
    <t>Péče o rostliny a trávník do předání investorovi</t>
  </si>
  <si>
    <t>Dodávka zásobního pomalu rozpustného hnojiva pro trávník 30 g/m2 (např. Yaramila Complex)</t>
  </si>
  <si>
    <t>osivo VV1 Okrasná univerzální travní směs  25g/m2</t>
  </si>
  <si>
    <t>viz trávník</t>
  </si>
  <si>
    <t>Cibuloviny</t>
  </si>
  <si>
    <t>Výsadba rostlin dle jednotlivých záhonů, založení trávníku</t>
  </si>
  <si>
    <t>Odpad vrstva cca 3cm, likvidace skládkovné, 1/2 plochy</t>
  </si>
  <si>
    <t>Odpad vrstva cca 5cm z 20% plochy</t>
  </si>
  <si>
    <t>Odstranění případného  drnu z trávníku</t>
  </si>
  <si>
    <t>Organický odpad  (drny, kořeny, listí) nelze uložit do souvrství. Bude odvezeno nebo uloženo, rozdhodnutí AD dle skutečnosti.</t>
  </si>
  <si>
    <t xml:space="preserve">Odpad vrstva cca 2cm, likvidace skládkovné, celá plocha, nebo použití do výsadeb, dle stavu půdy </t>
  </si>
  <si>
    <t>Zmlazení keřů  netrnitých průměru koruny  do 1,5 m(1m), výšky do 1m</t>
  </si>
  <si>
    <t>okrasné s balem</t>
  </si>
  <si>
    <t>rovina</t>
  </si>
  <si>
    <t>Doprava na místo, umístění stromů do jam</t>
  </si>
  <si>
    <t>Manipulace se stromy auto s rukou 3 dny, odhad</t>
  </si>
  <si>
    <t>184 80-6133</t>
  </si>
  <si>
    <t>Řez stromů výchovný dle potřeby, stromy o průměru koruny 4-6 m</t>
  </si>
  <si>
    <t>Vytyčení stromů</t>
  </si>
  <si>
    <t>183 10-1222</t>
  </si>
  <si>
    <t>Hloubení jamek s 50%výměnou půdy,  objem  přes 1 do 2m3, ve svahu přes 1:5 do 1:2 (1,2m3),</t>
  </si>
  <si>
    <t>Odvodnění v hloubce 50cm, ve směru vodoteče, dle pokynů  AD, u všech stromů</t>
  </si>
  <si>
    <t>Polyvinylchloridová drenážní trubka (flexibilní) DN 80,100cm dl (120cm)</t>
  </si>
  <si>
    <t>184 10-2128</t>
  </si>
  <si>
    <t>Výsadba dřevin s balem do vyhloubené jamky, ve svahu přes 1:5- do 1:2, pr. balu 1000-1200mm</t>
  </si>
  <si>
    <t>184 21-5212</t>
  </si>
  <si>
    <t>Ukotvení dřeviny podzemním kotvením, obvod kmene od 250 do 400mm</t>
  </si>
  <si>
    <t>Zemní kotvy např. Kotvos KSB Z2 (obv. kmene 20-40cm)</t>
  </si>
  <si>
    <t>184 21-5413</t>
  </si>
  <si>
    <t>Zhotovení závlahové mísy v rovině pr.150cm nad1m, výška lemu 15cm, na lem bude využita původní zemina z výkopu</t>
  </si>
  <si>
    <t>Jemná kůra 8-15mm, ztratné 5%, vrstva  7cm</t>
  </si>
  <si>
    <t>Rohož 1,5 výšky, štípaný bambus, prořez 5%</t>
  </si>
  <si>
    <t>184 50-1142</t>
  </si>
  <si>
    <t>Zhotovení obalu kmnene z rákosové rohože</t>
  </si>
  <si>
    <t>Štěrk 16-32</t>
  </si>
  <si>
    <t>Substrát spodní minerální -stávající půda a štěrk (1:1)</t>
  </si>
  <si>
    <t>Substrát horní organicko minerální -  stávající půda, štěrk, kompost - ornice (2:1:1)</t>
  </si>
  <si>
    <t>Ornice,  kompostní zemina</t>
  </si>
  <si>
    <t>Příprava substrátů - stavájící půdu promísit se štěrkem a ornicí ve výše uvedených poměrech</t>
  </si>
  <si>
    <t>Zalití rostlin vodou po výsadbě, výsevu, plochy jednotlivě 200l/ks, ve dvou dávkách</t>
  </si>
  <si>
    <t>Paeonia lactiflora ´Bowl of Beauty´</t>
  </si>
  <si>
    <t>Založení parteroveho  trávníku  výsevem, v rovině, včetně první seče</t>
  </si>
  <si>
    <t>Silvamix Forte 60, 10 g/ks</t>
  </si>
  <si>
    <t xml:space="preserve">Silvamix Forte 60, 10 g/ks </t>
  </si>
  <si>
    <t>02</t>
  </si>
  <si>
    <t>PS 01 128m2</t>
  </si>
  <si>
    <t>hnojení x4</t>
  </si>
  <si>
    <t>hnojivo</t>
  </si>
  <si>
    <t>184 80-2615</t>
  </si>
  <si>
    <t>mat.</t>
  </si>
  <si>
    <t>vertikutce 2x2</t>
  </si>
  <si>
    <t>111 15-1111</t>
  </si>
  <si>
    <t>písek</t>
  </si>
  <si>
    <t>183 45-1511</t>
  </si>
  <si>
    <t>193 45-1411</t>
  </si>
  <si>
    <t>Zalití rostlin vodou plochy jednotlivě 10l/m2 3x/měsíc, dle skutečné potřeby a počasí , 6 měsíců</t>
  </si>
  <si>
    <t>chemické ošetření (fungicid, herbicid) cca 3x/rok</t>
  </si>
  <si>
    <t>184 80-2611</t>
  </si>
  <si>
    <t>pískování 1x , vrstva 2mm</t>
  </si>
  <si>
    <t>185 80-4252</t>
  </si>
  <si>
    <t>185 80-4211</t>
  </si>
  <si>
    <t>185 80-4311</t>
  </si>
  <si>
    <t>odstranění odkvetlých a odumřelých částí rostlin 3x</t>
  </si>
  <si>
    <t>vypletí 4x</t>
  </si>
  <si>
    <t>Obvodová redukce stromu včetně zdravotního řezu, řez lezeckou technikou Tilia cordata, plocha koruny stromu do 78m2</t>
  </si>
  <si>
    <t>Obvodová redukce stromu včetně zdravotního řezu, řez lezeckou technikou Tilia cordata, plocha koruny stromu do 95m2 a 120 m2</t>
  </si>
  <si>
    <t>Obvodová redukce stromu včetně zdravotního řezu, řez lezeckou technikou Tilia cordata, plocha koruny stromu do 50m2</t>
  </si>
  <si>
    <t>celkem bez DPH</t>
  </si>
  <si>
    <t>DPH 21%</t>
  </si>
  <si>
    <t>včetně DPH 21%</t>
  </si>
  <si>
    <t>Stromy</t>
  </si>
  <si>
    <t xml:space="preserve">Stromy výsadba </t>
  </si>
  <si>
    <t>záhony</t>
  </si>
  <si>
    <t>travník 1 kategorie</t>
  </si>
  <si>
    <t>rok 1</t>
  </si>
  <si>
    <t>rok 2</t>
  </si>
  <si>
    <t>rok 3</t>
  </si>
  <si>
    <t>r- položka</t>
  </si>
  <si>
    <t>trvalky a keřové skupiny s trvalkami</t>
  </si>
  <si>
    <t>jarní řez, výhrab, čištění a pletí, záhonů</t>
  </si>
  <si>
    <t>184 80-6151</t>
  </si>
  <si>
    <t>Budleia řez keřů do 1,5m</t>
  </si>
  <si>
    <t>hnojivo hnojivo s dlouhodobým účinkem</t>
  </si>
  <si>
    <t>přihnojení výsadeb plošně granulátem</t>
  </si>
  <si>
    <t>mat</t>
  </si>
  <si>
    <t>odpad včetně likvidace</t>
  </si>
  <si>
    <t>hrabání listí</t>
  </si>
  <si>
    <t>185 81-1111</t>
  </si>
  <si>
    <t xml:space="preserve">25-30 280 kg, průměr 90-100 balu, výška balu 50-70, objem 0,4 m3 </t>
  </si>
  <si>
    <t>rok</t>
  </si>
  <si>
    <t>TZ 04</t>
  </si>
  <si>
    <t>Trvalky Prérie</t>
  </si>
  <si>
    <t>Štěrk 8/16 (hmotnost sypaného kameniva 1,5t/m3), ztratné 5%</t>
  </si>
  <si>
    <t>z toho mulč kamenivo 8/16</t>
  </si>
  <si>
    <t>Prkna 130 x 25 mm (28x146)</t>
  </si>
  <si>
    <t>Zpevnění svahu prkny a roxory</t>
  </si>
  <si>
    <t>131 10-3101</t>
  </si>
  <si>
    <t>Hloubení ruční</t>
  </si>
  <si>
    <t>Odvoz a likvidace odpadu</t>
  </si>
  <si>
    <t>184 91-1151</t>
  </si>
  <si>
    <t>Mulčování vysazených rostlin kamenivem, v rovině, vrstva 5cm</t>
  </si>
  <si>
    <t>ps 8 parkoviště, ps 9 prředbraní, ks11 parkovišě, ps 6 parkoviště</t>
  </si>
  <si>
    <t>TZ 05</t>
  </si>
  <si>
    <t>TZ 06.01,02</t>
  </si>
  <si>
    <t>TZ 07</t>
  </si>
  <si>
    <t>Rudbeckia fulgida ´Little Goldstar´</t>
  </si>
  <si>
    <t>Panicum virgatum ´Warrior´</t>
  </si>
  <si>
    <t>Rudbeckia laciniata ´Herbstsonne´</t>
  </si>
  <si>
    <t>Rudbeckia fulgida ´Goldsturm´</t>
  </si>
  <si>
    <t>Hlavní areál</t>
  </si>
  <si>
    <t>Zámek</t>
  </si>
  <si>
    <t>stromy</t>
  </si>
  <si>
    <t>Zalití rostlin vodou po výsadbě, výsevu, plochy jednotlivě 200l/ks, ve dvou dávkách 6 měsíců x 3</t>
  </si>
  <si>
    <t>kontrola kotvení, povolení, odstranění ve třetím roce pokud dochází k škrcení kořenů, báze</t>
  </si>
  <si>
    <t>Realizace s DPH21%</t>
  </si>
  <si>
    <t>Realizace bez DPH</t>
  </si>
  <si>
    <t>Údržba 3 roky včetně DPH</t>
  </si>
  <si>
    <t>Celkem včetně DPH 21%</t>
  </si>
  <si>
    <t>RENOVACE VÝSADEB A PARKOVÉ KOMPOZICE V AREÁLU ČHMU V  PRAZE - KOMOŘANECH - PRVNÍ ETAPA 02/2018</t>
  </si>
  <si>
    <t>Viburnum farreri 80-100</t>
  </si>
  <si>
    <r>
      <t>Brunnera macrophylla Betty Bowring</t>
    </r>
    <r>
      <rPr>
        <strike/>
        <sz val="8"/>
        <rFont val="Arial"/>
        <family val="2"/>
        <charset val="238"/>
      </rPr>
      <t xml:space="preserve"> p9  </t>
    </r>
    <r>
      <rPr>
        <sz val="8"/>
        <rFont val="Arial"/>
        <family val="2"/>
        <charset val="238"/>
      </rPr>
      <t>(K11)</t>
    </r>
  </si>
  <si>
    <t>Helleborus orientalis agg. (K11)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</si>
  <si>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</si>
  <si>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</si>
  <si>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</si>
  <si>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</si>
  <si>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</si>
  <si>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</si>
  <si>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</si>
  <si>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</si>
  <si>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</si>
  <si>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</si>
  <si>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</si>
  <si>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</si>
  <si>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Zalití rostlin vodou po výsadbě, výsevu, plochy jednotlivě 6 měsíců x 2</t>
  </si>
  <si>
    <t>dávka</t>
  </si>
  <si>
    <t>(0,5) zálivka poloviční dávkou</t>
  </si>
  <si>
    <t>Zalití rostlin vodou plochy jednotlivě, 10l/m2, 2x/měsíc, dle skutečné potřeby a počasí, 6 měsíců,  12 zálivek</t>
  </si>
  <si>
    <t>Zalití rostlin vodou plochy jednotlivě, 10 /m2, 2,5x/měsíc, dle skutečné potřeby a počasí, 6 měsíců, 15zálivek</t>
  </si>
  <si>
    <t>Řešené plochy celkem</t>
  </si>
  <si>
    <t>2018</t>
  </si>
  <si>
    <t>Údržba po dobu tří let vše (Zámek a Hl. areál TZ 4,5,6,7)</t>
  </si>
  <si>
    <t>Renovace výsadeb a parkové kompozice  - PRVNÍ ETAPA</t>
  </si>
  <si>
    <t>02/2018</t>
  </si>
  <si>
    <t>celkem za rok</t>
  </si>
  <si>
    <t>za rok včetně DPH 21%</t>
  </si>
  <si>
    <t>3 roky včetně DPH</t>
  </si>
  <si>
    <t>celkem položka</t>
  </si>
  <si>
    <t>celkem t</t>
  </si>
  <si>
    <t>Phlox paniculata ´Rembrandt´</t>
  </si>
  <si>
    <t>Salvia nemorosa ´Viola Klose´</t>
  </si>
  <si>
    <t>Salvia nemorosa ´Adrian´</t>
  </si>
  <si>
    <t>Záhon bude po výsadbě plošně zamulčován kůrou 8-15mm, ve vrstvě 5 cm za předpokladu, že kůra bude opřena o stávající obruby.</t>
  </si>
  <si>
    <t xml:space="preserve">(v místech, kde záhon sousedí s obrubami) a bude dodržena skladba souvrství. Kůra nebude bombírována a  substrát bude 5cm pod horním okrajem obrubníků. </t>
  </si>
  <si>
    <t>Zalití rostlin vodou po výsadbě, výsevu, plochy jednotlivě 20l/m2, 2 dávky</t>
  </si>
  <si>
    <t>Budleia davidii Nanho Blue 80-100</t>
  </si>
  <si>
    <t>Budleia davidii Nanho Purple 80-100</t>
  </si>
  <si>
    <t>Budleia davidii Nanho White 80-100</t>
  </si>
  <si>
    <t xml:space="preserve"> =(0,8*1,5)*(1,5*0,8)*0,75= 1,08, -0,4 bal= 0,68 substrát * 2 stromy</t>
  </si>
  <si>
    <t>Seč trávníku 24 x</t>
  </si>
  <si>
    <t>odstranění odkvetlých a odumřelých částí rostlin 2x</t>
  </si>
  <si>
    <t>Zhotovení drenážní kanyly v hloubce 50cm, včetně vyplnění okolí trubky kamenivem 16-32</t>
  </si>
  <si>
    <t>dvůr, 12.1. 2018 havarijní stav javoru, náklon na pravou stranu (pohled od vrat) nutná výrazná obvodová redukce v této části. U země dutina, vyrůstá z leva proplétá se do prava - nutné výrazné odlehčení této část, zbytek řez zdravotní, bezpečnostní a redukční v menším měřítku. Pravděpodobně navážka na bázi.</t>
  </si>
  <si>
    <t>VÝKAZ VÝMĚR</t>
  </si>
  <si>
    <t>specifikace</t>
  </si>
  <si>
    <t>jednotka</t>
  </si>
  <si>
    <t>Gramoflor  Rhodo MG</t>
  </si>
  <si>
    <r>
      <t>m</t>
    </r>
    <r>
      <rPr>
        <vertAlign val="superscript"/>
        <sz val="9"/>
        <rFont val="Arial"/>
        <family val="2"/>
        <charset val="238"/>
      </rPr>
      <t>3</t>
    </r>
  </si>
  <si>
    <t>5,0</t>
  </si>
  <si>
    <t>21,0</t>
  </si>
  <si>
    <t>prkna 130 x 25 mm</t>
  </si>
  <si>
    <t>49,3</t>
  </si>
  <si>
    <t>rohož ze štípaného bambusu v 150cm</t>
  </si>
  <si>
    <t>0,8</t>
  </si>
  <si>
    <t>roxory 800 x 12 mm</t>
  </si>
  <si>
    <t>32,8</t>
  </si>
  <si>
    <t>Stauden substrat Gramoflor Supergrob 70/30 90 Ton</t>
  </si>
  <si>
    <t>17,8</t>
  </si>
  <si>
    <t>štěrk 16-32mm</t>
  </si>
  <si>
    <t>0,5</t>
  </si>
  <si>
    <t>štěrk 4-8mm</t>
  </si>
  <si>
    <t>štěrk 8-16mm</t>
  </si>
  <si>
    <t>13,0</t>
  </si>
  <si>
    <t>tabletové hnojivo (doporučeno Silvamix Forte 60)</t>
  </si>
  <si>
    <t>3967</t>
  </si>
  <si>
    <t>zemní kotvení</t>
  </si>
  <si>
    <t>2</t>
  </si>
  <si>
    <t>stromy v rovině</t>
  </si>
  <si>
    <t>keře</t>
  </si>
  <si>
    <t>31</t>
  </si>
  <si>
    <t>trvalky</t>
  </si>
  <si>
    <t>3837</t>
  </si>
  <si>
    <t>cibuloviny</t>
  </si>
  <si>
    <t>16276</t>
  </si>
  <si>
    <t>trávník I. intenzitní třída  ( výsevek 25g/m2)</t>
  </si>
  <si>
    <t>g</t>
  </si>
  <si>
    <t>17150,0</t>
  </si>
  <si>
    <t>VÝKAZ ROSTLINNÉHO MATERIÁLU</t>
  </si>
  <si>
    <t>zkr</t>
  </si>
  <si>
    <t>latinský název</t>
  </si>
  <si>
    <t>český název</t>
  </si>
  <si>
    <t>velikost</t>
  </si>
  <si>
    <t>STROMY</t>
  </si>
  <si>
    <t>Lav Hid</t>
  </si>
  <si>
    <r>
      <rPr>
        <i/>
        <sz val="9"/>
        <color indexed="8"/>
        <rFont val="Arial"/>
        <family val="2"/>
        <charset val="238"/>
      </rPr>
      <t>Lavandula</t>
    </r>
    <r>
      <rPr>
        <sz val="9"/>
        <color indexed="8"/>
        <rFont val="Arial"/>
        <family val="2"/>
        <charset val="238"/>
      </rPr>
      <t xml:space="preserve"> ´Hidcote´</t>
    </r>
  </si>
  <si>
    <t>levandule</t>
  </si>
  <si>
    <t>p9</t>
  </si>
  <si>
    <t>ACE OCT GLO</t>
  </si>
  <si>
    <r>
      <t xml:space="preserve">Acer rubrum </t>
    </r>
    <r>
      <rPr>
        <sz val="9"/>
        <color indexed="8"/>
        <rFont val="Arial"/>
        <family val="2"/>
        <charset val="238"/>
      </rPr>
      <t>'October Glory'</t>
    </r>
  </si>
  <si>
    <t>javor</t>
  </si>
  <si>
    <t>Mis Kle Sil</t>
  </si>
  <si>
    <r>
      <rPr>
        <i/>
        <sz val="9"/>
        <color indexed="8"/>
        <rFont val="Arial"/>
        <family val="2"/>
        <charset val="238"/>
      </rPr>
      <t>Miscanthus sinensis</t>
    </r>
    <r>
      <rPr>
        <sz val="9"/>
        <color indexed="8"/>
        <rFont val="Arial"/>
        <family val="2"/>
        <charset val="238"/>
      </rPr>
      <t xml:space="preserve"> ´Kleine Silberspinne´</t>
    </r>
  </si>
  <si>
    <t>ozdobnice</t>
  </si>
  <si>
    <t>TIL EUR</t>
  </si>
  <si>
    <t>lípa</t>
  </si>
  <si>
    <t>Nep Kit Cat</t>
  </si>
  <si>
    <t>šanta</t>
  </si>
  <si>
    <t>KEŘE</t>
  </si>
  <si>
    <t>Pae BoB</t>
  </si>
  <si>
    <r>
      <rPr>
        <i/>
        <sz val="9"/>
        <color indexed="8"/>
        <rFont val="Arial"/>
        <family val="2"/>
        <charset val="238"/>
      </rPr>
      <t>Peonia lactiflora</t>
    </r>
    <r>
      <rPr>
        <sz val="9"/>
        <color indexed="8"/>
        <rFont val="Arial"/>
        <family val="2"/>
        <charset val="238"/>
      </rPr>
      <t xml:space="preserve"> ´Bowl of Beauty´</t>
    </r>
  </si>
  <si>
    <t>pivoňka</t>
  </si>
  <si>
    <t>2l</t>
  </si>
  <si>
    <t>Ame lam</t>
  </si>
  <si>
    <t>muchovník</t>
  </si>
  <si>
    <t>80/100, min 3 výhony</t>
  </si>
  <si>
    <t>Pae Jan van Leu</t>
  </si>
  <si>
    <r>
      <rPr>
        <i/>
        <sz val="9"/>
        <color indexed="8"/>
        <rFont val="Arial"/>
        <family val="2"/>
        <charset val="238"/>
      </rPr>
      <t>Paeonia lactiflora</t>
    </r>
    <r>
      <rPr>
        <sz val="9"/>
        <color indexed="8"/>
        <rFont val="Arial"/>
        <family val="2"/>
        <charset val="238"/>
      </rPr>
      <t xml:space="preserve"> ´Jan van Leeuwen´</t>
    </r>
  </si>
  <si>
    <t>Bud Bla Kni</t>
  </si>
  <si>
    <r>
      <t xml:space="preserve">Buddleia davidii </t>
    </r>
    <r>
      <rPr>
        <sz val="9"/>
        <rFont val="Arial"/>
        <family val="2"/>
        <charset val="238"/>
      </rPr>
      <t>´Black Knight´</t>
    </r>
  </si>
  <si>
    <t>komule</t>
  </si>
  <si>
    <t>Pae Swo Dan</t>
  </si>
  <si>
    <r>
      <rPr>
        <i/>
        <sz val="9"/>
        <color indexed="8"/>
        <rFont val="Arial"/>
        <family val="2"/>
        <charset val="238"/>
      </rPr>
      <t>Paeonia lactiflora</t>
    </r>
    <r>
      <rPr>
        <sz val="9"/>
        <color indexed="8"/>
        <rFont val="Arial"/>
        <family val="2"/>
        <charset val="238"/>
      </rPr>
      <t xml:space="preserve"> ´Sword Dance´</t>
    </r>
  </si>
  <si>
    <t>Bud Nan Blu</t>
  </si>
  <si>
    <r>
      <rPr>
        <i/>
        <sz val="9"/>
        <rFont val="Arial"/>
        <family val="2"/>
        <charset val="238"/>
      </rPr>
      <t>Buddleia davidii</t>
    </r>
    <r>
      <rPr>
        <sz val="9"/>
        <rFont val="Arial"/>
        <family val="2"/>
        <charset val="238"/>
      </rPr>
      <t xml:space="preserve"> ´Nanho Blue´</t>
    </r>
  </si>
  <si>
    <t>Pan Dal Blu</t>
  </si>
  <si>
    <r>
      <rPr>
        <i/>
        <sz val="9"/>
        <color indexed="8"/>
        <rFont val="Arial"/>
        <family val="2"/>
        <charset val="238"/>
      </rPr>
      <t>Panicum virgatum</t>
    </r>
    <r>
      <rPr>
        <sz val="9"/>
        <color indexed="8"/>
        <rFont val="Arial"/>
        <family val="2"/>
        <charset val="238"/>
      </rPr>
      <t xml:space="preserve"> ´Dallas Blues´</t>
    </r>
  </si>
  <si>
    <t>proso</t>
  </si>
  <si>
    <t>Bud Nan Pur</t>
  </si>
  <si>
    <r>
      <rPr>
        <i/>
        <sz val="9"/>
        <rFont val="Arial"/>
        <family val="2"/>
        <charset val="238"/>
      </rPr>
      <t>Buddleia davidii</t>
    </r>
    <r>
      <rPr>
        <sz val="9"/>
        <rFont val="Arial"/>
        <family val="2"/>
        <charset val="238"/>
      </rPr>
      <t xml:space="preserve">  ´Nanho Purple´</t>
    </r>
  </si>
  <si>
    <t>Pan She</t>
  </si>
  <si>
    <r>
      <rPr>
        <i/>
        <sz val="9"/>
        <color indexed="8"/>
        <rFont val="Arial"/>
        <family val="2"/>
        <charset val="238"/>
      </rPr>
      <t>Panicum virgatum</t>
    </r>
    <r>
      <rPr>
        <sz val="9"/>
        <color indexed="8"/>
        <rFont val="Arial"/>
        <family val="2"/>
        <charset val="238"/>
      </rPr>
      <t xml:space="preserve"> ´Shenandoah´</t>
    </r>
  </si>
  <si>
    <t>Bud Nan Whi</t>
  </si>
  <si>
    <r>
      <rPr>
        <i/>
        <sz val="9"/>
        <rFont val="Arial"/>
        <family val="2"/>
        <charset val="238"/>
      </rPr>
      <t xml:space="preserve">Buddleia davidii </t>
    </r>
    <r>
      <rPr>
        <sz val="9"/>
        <rFont val="Arial"/>
        <family val="2"/>
        <charset val="238"/>
      </rPr>
      <t>´Nanho White´</t>
    </r>
  </si>
  <si>
    <t>Pan War</t>
  </si>
  <si>
    <r>
      <rPr>
        <i/>
        <sz val="9"/>
        <color indexed="8"/>
        <rFont val="Arial"/>
        <family val="2"/>
        <charset val="238"/>
      </rPr>
      <t>Panicum virgatum</t>
    </r>
    <r>
      <rPr>
        <sz val="9"/>
        <color indexed="8"/>
        <rFont val="Arial"/>
        <family val="2"/>
        <charset val="238"/>
      </rPr>
      <t xml:space="preserve"> ´Warrior´</t>
    </r>
  </si>
  <si>
    <t>Bud Whi Pro</t>
  </si>
  <si>
    <r>
      <t xml:space="preserve">Buddleia davidii </t>
    </r>
    <r>
      <rPr>
        <sz val="9"/>
        <rFont val="Arial"/>
        <family val="2"/>
        <charset val="238"/>
      </rPr>
      <t>´White Profusion´</t>
    </r>
  </si>
  <si>
    <t>Phl Rem</t>
  </si>
  <si>
    <r>
      <rPr>
        <i/>
        <sz val="9"/>
        <color indexed="8"/>
        <rFont val="Arial"/>
        <family val="2"/>
        <charset val="238"/>
      </rPr>
      <t>Phlox paniculata</t>
    </r>
    <r>
      <rPr>
        <sz val="9"/>
        <color indexed="8"/>
        <rFont val="Arial"/>
        <family val="2"/>
        <charset val="238"/>
      </rPr>
      <t xml:space="preserve"> ´Rembrandt´</t>
    </r>
  </si>
  <si>
    <t>plamenka</t>
  </si>
  <si>
    <t>Rho sp.</t>
  </si>
  <si>
    <t>Rhododendron sp.</t>
  </si>
  <si>
    <t>pěnišník</t>
  </si>
  <si>
    <t>přesazené v místě, 150/180</t>
  </si>
  <si>
    <t>Pol mul</t>
  </si>
  <si>
    <t>kokořík</t>
  </si>
  <si>
    <t>Tax Rep</t>
  </si>
  <si>
    <r>
      <t xml:space="preserve">Taxus baccata </t>
    </r>
    <r>
      <rPr>
        <sz val="9"/>
        <rFont val="Arial"/>
        <family val="2"/>
        <charset val="238"/>
      </rPr>
      <t>´Repandens´</t>
    </r>
  </si>
  <si>
    <t>tis</t>
  </si>
  <si>
    <t>20/30, 2 a více výhonů</t>
  </si>
  <si>
    <t>Rud Gol</t>
  </si>
  <si>
    <r>
      <rPr>
        <i/>
        <sz val="9"/>
        <color indexed="8"/>
        <rFont val="Arial"/>
        <family val="2"/>
        <charset val="238"/>
      </rPr>
      <t>Rudbeckia fulgida</t>
    </r>
    <r>
      <rPr>
        <sz val="9"/>
        <color indexed="8"/>
        <rFont val="Arial"/>
        <family val="2"/>
        <charset val="238"/>
      </rPr>
      <t xml:space="preserve"> ´Goldsturm´</t>
    </r>
  </si>
  <si>
    <t>třapatkovka</t>
  </si>
  <si>
    <t>Vib bur</t>
  </si>
  <si>
    <t>Viburnum x burkwoodii</t>
  </si>
  <si>
    <t>kalina</t>
  </si>
  <si>
    <t>60/80, min 3 výhony</t>
  </si>
  <si>
    <t>Rud Her</t>
  </si>
  <si>
    <r>
      <rPr>
        <i/>
        <sz val="9"/>
        <color indexed="8"/>
        <rFont val="Arial"/>
        <family val="2"/>
        <charset val="238"/>
      </rPr>
      <t>Rudbeckia laciniata</t>
    </r>
    <r>
      <rPr>
        <sz val="9"/>
        <color indexed="8"/>
        <rFont val="Arial"/>
        <family val="2"/>
        <charset val="238"/>
      </rPr>
      <t xml:space="preserve"> ´Herbstsonne´</t>
    </r>
  </si>
  <si>
    <t>Vib far</t>
  </si>
  <si>
    <t>Viburnum farreri</t>
  </si>
  <si>
    <t>Rud Lit Gol</t>
  </si>
  <si>
    <r>
      <rPr>
        <i/>
        <sz val="9"/>
        <color indexed="8"/>
        <rFont val="Arial"/>
        <family val="2"/>
        <charset val="238"/>
      </rPr>
      <t>Rudbeckia fulgida</t>
    </r>
    <r>
      <rPr>
        <sz val="9"/>
        <color indexed="8"/>
        <rFont val="Arial"/>
        <family val="2"/>
        <charset val="238"/>
      </rPr>
      <t xml:space="preserve"> ´Little Goldstar´</t>
    </r>
  </si>
  <si>
    <t>TRVALKY</t>
  </si>
  <si>
    <t>Sal Adr</t>
  </si>
  <si>
    <r>
      <rPr>
        <i/>
        <sz val="9"/>
        <color indexed="8"/>
        <rFont val="Arial"/>
        <family val="2"/>
        <charset val="238"/>
      </rPr>
      <t>Salvia nemorosa</t>
    </r>
    <r>
      <rPr>
        <sz val="9"/>
        <color indexed="8"/>
        <rFont val="Arial"/>
        <family val="2"/>
        <charset val="238"/>
      </rPr>
      <t xml:space="preserve"> ´Adrian´</t>
    </r>
  </si>
  <si>
    <t>šalvěj</t>
  </si>
  <si>
    <t>Aco Spa Var</t>
  </si>
  <si>
    <r>
      <rPr>
        <i/>
        <sz val="9"/>
        <color indexed="8"/>
        <rFont val="Arial"/>
        <family val="2"/>
        <charset val="238"/>
      </rPr>
      <t>Aconitum</t>
    </r>
    <r>
      <rPr>
        <sz val="9"/>
        <color indexed="8"/>
        <rFont val="Arial"/>
        <family val="2"/>
        <charset val="238"/>
      </rPr>
      <t xml:space="preserve"> ´Spark´s Variety´</t>
    </r>
  </si>
  <si>
    <t>oměj</t>
  </si>
  <si>
    <t>Sal Vio Klo</t>
  </si>
  <si>
    <r>
      <rPr>
        <i/>
        <sz val="9"/>
        <color indexed="8"/>
        <rFont val="Arial"/>
        <family val="2"/>
        <charset val="238"/>
      </rPr>
      <t>Salvia nemorosa</t>
    </r>
    <r>
      <rPr>
        <sz val="9"/>
        <color indexed="8"/>
        <rFont val="Arial"/>
        <family val="2"/>
        <charset val="238"/>
      </rPr>
      <t xml:space="preserve"> ´Viola Klose´</t>
    </r>
  </si>
  <si>
    <t>Aju Cat Gia</t>
  </si>
  <si>
    <r>
      <rPr>
        <i/>
        <sz val="9"/>
        <color indexed="8"/>
        <rFont val="Arial"/>
        <family val="2"/>
        <charset val="238"/>
      </rPr>
      <t>Ajuga reptans</t>
    </r>
    <r>
      <rPr>
        <sz val="9"/>
        <color indexed="8"/>
        <rFont val="Arial"/>
        <family val="2"/>
        <charset val="238"/>
      </rPr>
      <t xml:space="preserve"> ´Catlin´s Giant´</t>
    </r>
  </si>
  <si>
    <t>zběhovec</t>
  </si>
  <si>
    <t>Schi sco</t>
  </si>
  <si>
    <t>schizachyrium</t>
  </si>
  <si>
    <t>Alch mol</t>
  </si>
  <si>
    <t>kontryhel</t>
  </si>
  <si>
    <t>Spo het</t>
  </si>
  <si>
    <t>opadavec</t>
  </si>
  <si>
    <t>Ane And Atk</t>
  </si>
  <si>
    <r>
      <rPr>
        <i/>
        <sz val="9"/>
        <color indexed="8"/>
        <rFont val="Arial"/>
        <family val="2"/>
        <charset val="238"/>
      </rPr>
      <t>Anemone x hybrida</t>
    </r>
    <r>
      <rPr>
        <sz val="9"/>
        <color indexed="8"/>
        <rFont val="Arial"/>
        <family val="2"/>
        <charset val="238"/>
      </rPr>
      <t xml:space="preserve"> ´Andrea Atkinson´</t>
    </r>
  </si>
  <si>
    <t>sasanka</t>
  </si>
  <si>
    <t>Tha aqu</t>
  </si>
  <si>
    <t>žluťucha</t>
  </si>
  <si>
    <t>Ane Pam</t>
  </si>
  <si>
    <r>
      <rPr>
        <i/>
        <sz val="9"/>
        <color indexed="8"/>
        <rFont val="Arial"/>
        <family val="2"/>
        <charset val="238"/>
      </rPr>
      <t>Anemone hupehensis</t>
    </r>
    <r>
      <rPr>
        <sz val="9"/>
        <color indexed="8"/>
        <rFont val="Arial"/>
        <family val="2"/>
        <charset val="238"/>
      </rPr>
      <t xml:space="preserve"> var. </t>
    </r>
    <r>
      <rPr>
        <i/>
        <sz val="9"/>
        <color indexed="8"/>
        <rFont val="Arial"/>
        <family val="2"/>
        <charset val="238"/>
      </rPr>
      <t>japonica</t>
    </r>
    <r>
      <rPr>
        <sz val="9"/>
        <color indexed="8"/>
        <rFont val="Arial"/>
        <family val="2"/>
        <charset val="238"/>
      </rPr>
      <t xml:space="preserve"> ´Pamina´</t>
    </r>
  </si>
  <si>
    <t>The car</t>
  </si>
  <si>
    <t>vlčinec</t>
  </si>
  <si>
    <t>Aqu vul cvs.</t>
  </si>
  <si>
    <t>orlíček</t>
  </si>
  <si>
    <t>Ver Alb</t>
  </si>
  <si>
    <r>
      <rPr>
        <i/>
        <sz val="9"/>
        <color indexed="8"/>
        <rFont val="Arial"/>
        <family val="2"/>
        <charset val="238"/>
      </rPr>
      <t>Veronicastrum virginicum</t>
    </r>
    <r>
      <rPr>
        <sz val="9"/>
        <color indexed="8"/>
        <rFont val="Arial"/>
        <family val="2"/>
        <charset val="238"/>
      </rPr>
      <t xml:space="preserve"> ´Album´</t>
    </r>
  </si>
  <si>
    <t>rozrazilovec</t>
  </si>
  <si>
    <t>Asc tub</t>
  </si>
  <si>
    <t>klejicha</t>
  </si>
  <si>
    <t>Ver Eri</t>
  </si>
  <si>
    <r>
      <rPr>
        <i/>
        <sz val="9"/>
        <color indexed="8"/>
        <rFont val="Arial"/>
        <family val="2"/>
        <charset val="238"/>
      </rPr>
      <t>Veronicastrum virginicum</t>
    </r>
    <r>
      <rPr>
        <sz val="9"/>
        <color indexed="8"/>
        <rFont val="Arial"/>
        <family val="2"/>
        <charset val="238"/>
      </rPr>
      <t xml:space="preserve"> ´Erica´</t>
    </r>
  </si>
  <si>
    <t>Ast AaAP</t>
  </si>
  <si>
    <r>
      <rPr>
        <i/>
        <sz val="9"/>
        <color indexed="8"/>
        <rFont val="Arial"/>
        <family val="2"/>
        <charset val="238"/>
      </rPr>
      <t>Aster novae-angliae</t>
    </r>
    <r>
      <rPr>
        <sz val="9"/>
        <color indexed="8"/>
        <rFont val="Arial"/>
        <family val="2"/>
        <charset val="238"/>
      </rPr>
      <t xml:space="preserve"> ´Andenken an Alma Pötschke´</t>
    </r>
  </si>
  <si>
    <t>hvězdnice</t>
  </si>
  <si>
    <t>Ver Fas</t>
  </si>
  <si>
    <r>
      <rPr>
        <i/>
        <sz val="9"/>
        <color indexed="8"/>
        <rFont val="Arial"/>
        <family val="2"/>
        <charset val="238"/>
      </rPr>
      <t>Veronicastrum virginicum</t>
    </r>
    <r>
      <rPr>
        <sz val="9"/>
        <color indexed="8"/>
        <rFont val="Arial"/>
        <family val="2"/>
        <charset val="238"/>
      </rPr>
      <t xml:space="preserve"> ´Fascination´</t>
    </r>
  </si>
  <si>
    <t>Ast Lad in Bla</t>
  </si>
  <si>
    <r>
      <rPr>
        <i/>
        <sz val="9"/>
        <color indexed="8"/>
        <rFont val="Arial"/>
        <family val="2"/>
        <charset val="238"/>
      </rPr>
      <t>Aster lateriflorus</t>
    </r>
    <r>
      <rPr>
        <sz val="9"/>
        <color indexed="8"/>
        <rFont val="Arial"/>
        <family val="2"/>
        <charset val="238"/>
      </rPr>
      <t xml:space="preserve"> ´Lady in Black´</t>
    </r>
  </si>
  <si>
    <t>Ver Red Arr</t>
  </si>
  <si>
    <r>
      <rPr>
        <i/>
        <sz val="9"/>
        <color indexed="8"/>
        <rFont val="Arial"/>
        <family val="2"/>
        <charset val="238"/>
      </rPr>
      <t>Veronicastrum virginicum</t>
    </r>
    <r>
      <rPr>
        <sz val="9"/>
        <color indexed="8"/>
        <rFont val="Arial"/>
        <family val="2"/>
        <charset val="238"/>
      </rPr>
      <t xml:space="preserve"> ´Red Arrows´</t>
    </r>
  </si>
  <si>
    <t>Ast Mar Wol</t>
  </si>
  <si>
    <r>
      <rPr>
        <i/>
        <sz val="9"/>
        <color indexed="8"/>
        <rFont val="Arial"/>
        <family val="2"/>
        <charset val="238"/>
      </rPr>
      <t>Aster novae-anglia</t>
    </r>
    <r>
      <rPr>
        <sz val="9"/>
        <color indexed="8"/>
        <rFont val="Arial"/>
        <family val="2"/>
        <charset val="238"/>
      </rPr>
      <t>e ´Marina Wolkonsky´</t>
    </r>
  </si>
  <si>
    <t>Wal ter</t>
  </si>
  <si>
    <t>Waldsteinia ternata</t>
  </si>
  <si>
    <t>mochnička</t>
  </si>
  <si>
    <t>Ast Mon Cas</t>
  </si>
  <si>
    <r>
      <rPr>
        <i/>
        <sz val="9"/>
        <color indexed="8"/>
        <rFont val="Arial"/>
        <family val="2"/>
        <charset val="238"/>
      </rPr>
      <t>Aster pilosus var. pringlei</t>
    </r>
    <r>
      <rPr>
        <sz val="9"/>
        <color indexed="8"/>
        <rFont val="Arial"/>
        <family val="2"/>
        <charset val="238"/>
      </rPr>
      <t xml:space="preserve"> ´Monte Cassino´</t>
    </r>
  </si>
  <si>
    <t>CIBULOVINY</t>
  </si>
  <si>
    <t>Ast Pin Sta</t>
  </si>
  <si>
    <r>
      <rPr>
        <i/>
        <sz val="9"/>
        <color indexed="8"/>
        <rFont val="Arial"/>
        <family val="2"/>
        <charset val="238"/>
      </rPr>
      <t>Aster ericoides</t>
    </r>
    <r>
      <rPr>
        <sz val="9"/>
        <color indexed="8"/>
        <rFont val="Arial"/>
        <family val="2"/>
        <charset val="238"/>
      </rPr>
      <t xml:space="preserve"> ´Pink Star´</t>
    </r>
  </si>
  <si>
    <t>All mol</t>
  </si>
  <si>
    <t>česnek</t>
  </si>
  <si>
    <t>Ast Pri</t>
  </si>
  <si>
    <r>
      <rPr>
        <i/>
        <sz val="9"/>
        <color indexed="8"/>
        <rFont val="Arial"/>
        <family val="2"/>
        <charset val="238"/>
      </rPr>
      <t>Aster lateriflorus</t>
    </r>
    <r>
      <rPr>
        <sz val="9"/>
        <color indexed="8"/>
        <rFont val="Arial"/>
        <family val="2"/>
        <charset val="238"/>
      </rPr>
      <t xml:space="preserve"> ´Prince´</t>
    </r>
  </si>
  <si>
    <t>All Pur Sen</t>
  </si>
  <si>
    <r>
      <rPr>
        <i/>
        <sz val="9"/>
        <color indexed="8"/>
        <rFont val="Arial"/>
        <family val="2"/>
        <charset val="238"/>
      </rPr>
      <t>Allium aflatunense</t>
    </r>
    <r>
      <rPr>
        <sz val="9"/>
        <color indexed="8"/>
        <rFont val="Arial"/>
        <family val="2"/>
        <charset val="238"/>
      </rPr>
      <t xml:space="preserve"> ´Purple Sensation´</t>
    </r>
  </si>
  <si>
    <t>Ast Pur Dom</t>
  </si>
  <si>
    <r>
      <rPr>
        <i/>
        <sz val="9"/>
        <color indexed="8"/>
        <rFont val="Arial"/>
        <family val="2"/>
        <charset val="238"/>
      </rPr>
      <t>Aster novae - angliae</t>
    </r>
    <r>
      <rPr>
        <sz val="9"/>
        <color indexed="8"/>
        <rFont val="Arial"/>
        <family val="2"/>
        <charset val="238"/>
      </rPr>
      <t xml:space="preserve"> ´Purple Dome´</t>
    </r>
  </si>
  <si>
    <t>Chio Pin Gia</t>
  </si>
  <si>
    <r>
      <rPr>
        <i/>
        <sz val="9"/>
        <color indexed="8"/>
        <rFont val="Arial"/>
        <family val="2"/>
        <charset val="238"/>
      </rPr>
      <t>Chionodoxa</t>
    </r>
    <r>
      <rPr>
        <sz val="9"/>
        <color indexed="8"/>
        <rFont val="Arial"/>
        <family val="2"/>
        <charset val="238"/>
      </rPr>
      <t xml:space="preserve"> ´Pink Giant´</t>
    </r>
  </si>
  <si>
    <t>ladonička</t>
  </si>
  <si>
    <t>Ast Sno</t>
  </si>
  <si>
    <r>
      <rPr>
        <i/>
        <sz val="9"/>
        <color indexed="8"/>
        <rFont val="Arial"/>
        <family val="2"/>
        <charset val="238"/>
      </rPr>
      <t>Aster ericoides</t>
    </r>
    <r>
      <rPr>
        <sz val="9"/>
        <color indexed="8"/>
        <rFont val="Arial"/>
        <family val="2"/>
        <charset val="238"/>
      </rPr>
      <t xml:space="preserve"> ´Snow Flurry´</t>
    </r>
  </si>
  <si>
    <t>Nar Act</t>
  </si>
  <si>
    <r>
      <rPr>
        <i/>
        <sz val="9"/>
        <color indexed="8"/>
        <rFont val="Arial"/>
        <family val="2"/>
        <charset val="238"/>
      </rPr>
      <t>Narcissus</t>
    </r>
    <r>
      <rPr>
        <sz val="9"/>
        <color indexed="8"/>
        <rFont val="Arial"/>
        <family val="2"/>
        <charset val="238"/>
      </rPr>
      <t xml:space="preserve"> ´Actaea´</t>
    </r>
  </si>
  <si>
    <t>narcis</t>
  </si>
  <si>
    <t>Ast Std</t>
  </si>
  <si>
    <r>
      <rPr>
        <i/>
        <sz val="9"/>
        <color indexed="8"/>
        <rFont val="Arial"/>
        <family val="2"/>
        <charset val="238"/>
      </rPr>
      <t>Aster ageratoides</t>
    </r>
    <r>
      <rPr>
        <sz val="9"/>
        <color indexed="8"/>
        <rFont val="Arial"/>
        <family val="2"/>
        <charset val="238"/>
      </rPr>
      <t xml:space="preserve"> ´Stardust´</t>
    </r>
  </si>
  <si>
    <t>Nar Ice Win</t>
  </si>
  <si>
    <r>
      <rPr>
        <i/>
        <sz val="9"/>
        <color indexed="8"/>
        <rFont val="Arial"/>
        <family val="2"/>
        <charset val="238"/>
      </rPr>
      <t>Narcissus</t>
    </r>
    <r>
      <rPr>
        <sz val="9"/>
        <color indexed="8"/>
        <rFont val="Arial"/>
        <family val="2"/>
        <charset val="238"/>
      </rPr>
      <t xml:space="preserve"> ´Ice Wings´</t>
    </r>
  </si>
  <si>
    <t>Ast Sts</t>
  </si>
  <si>
    <r>
      <rPr>
        <i/>
        <sz val="9"/>
        <color indexed="8"/>
        <rFont val="Arial"/>
        <family val="2"/>
        <charset val="238"/>
      </rPr>
      <t>Aster ageratoide</t>
    </r>
    <r>
      <rPr>
        <sz val="9"/>
        <color indexed="8"/>
        <rFont val="Arial"/>
        <family val="2"/>
        <charset val="238"/>
      </rPr>
      <t>s ´Starshine´</t>
    </r>
  </si>
  <si>
    <t>Nar Pee Tom</t>
  </si>
  <si>
    <r>
      <rPr>
        <i/>
        <sz val="9"/>
        <color indexed="8"/>
        <rFont val="Arial"/>
        <family val="2"/>
        <charset val="238"/>
      </rPr>
      <t>Narcissus</t>
    </r>
    <r>
      <rPr>
        <sz val="9"/>
        <color indexed="8"/>
        <rFont val="Arial"/>
        <family val="2"/>
        <charset val="238"/>
      </rPr>
      <t xml:space="preserve"> ´Peeping Tom´</t>
    </r>
  </si>
  <si>
    <t>Ath fil fem</t>
  </si>
  <si>
    <t>papratka</t>
  </si>
  <si>
    <t>Sci Spr bea</t>
  </si>
  <si>
    <r>
      <rPr>
        <i/>
        <sz val="9"/>
        <color indexed="8"/>
        <rFont val="Arial"/>
        <family val="2"/>
        <charset val="238"/>
      </rPr>
      <t>Scilla siberica</t>
    </r>
    <r>
      <rPr>
        <sz val="9"/>
        <color indexed="8"/>
        <rFont val="Arial"/>
        <family val="2"/>
        <charset val="238"/>
      </rPr>
      <t xml:space="preserve"> ´Spring Beauty´</t>
    </r>
  </si>
  <si>
    <t>ladoňka</t>
  </si>
  <si>
    <t>Bap Vio Blu</t>
  </si>
  <si>
    <r>
      <rPr>
        <i/>
        <sz val="9"/>
        <color indexed="8"/>
        <rFont val="Arial"/>
        <family val="2"/>
        <charset val="238"/>
      </rPr>
      <t>Baptisia australis</t>
    </r>
    <r>
      <rPr>
        <sz val="9"/>
        <color indexed="8"/>
        <rFont val="Arial"/>
        <family val="2"/>
        <charset val="238"/>
      </rPr>
      <t xml:space="preserve"> ´Violet Blue´</t>
    </r>
  </si>
  <si>
    <t>baptisie</t>
  </si>
  <si>
    <t>Til Lil Won</t>
  </si>
  <si>
    <r>
      <rPr>
        <i/>
        <sz val="9"/>
        <color indexed="8"/>
        <rFont val="Arial"/>
        <family val="2"/>
        <charset val="238"/>
      </rPr>
      <t>Tulipa</t>
    </r>
    <r>
      <rPr>
        <sz val="9"/>
        <color indexed="8"/>
        <rFont val="Arial"/>
        <family val="2"/>
        <charset val="238"/>
      </rPr>
      <t xml:space="preserve"> ´Lilac Wonder´</t>
    </r>
  </si>
  <si>
    <t>tulipán</t>
  </si>
  <si>
    <t>Ber Ero</t>
  </si>
  <si>
    <r>
      <rPr>
        <i/>
        <sz val="9"/>
        <color indexed="8"/>
        <rFont val="Arial"/>
        <family val="2"/>
        <charset val="238"/>
      </rPr>
      <t>Bergenia</t>
    </r>
    <r>
      <rPr>
        <sz val="9"/>
        <color indexed="8"/>
        <rFont val="Arial"/>
        <family val="2"/>
        <charset val="238"/>
      </rPr>
      <t xml:space="preserve"> ´Eroica´</t>
    </r>
  </si>
  <si>
    <t>bergénie</t>
  </si>
  <si>
    <t>Tul Bal</t>
  </si>
  <si>
    <r>
      <rPr>
        <i/>
        <sz val="9"/>
        <color indexed="8"/>
        <rFont val="Arial"/>
        <family val="2"/>
        <charset val="238"/>
      </rPr>
      <t>Tulipa</t>
    </r>
    <r>
      <rPr>
        <sz val="9"/>
        <color indexed="8"/>
        <rFont val="Arial"/>
        <family val="2"/>
        <charset val="238"/>
      </rPr>
      <t xml:space="preserve"> ´Ballerina´</t>
    </r>
  </si>
  <si>
    <t>Bru Bet Bow</t>
  </si>
  <si>
    <r>
      <rPr>
        <i/>
        <sz val="9"/>
        <rFont val="Arial"/>
        <family val="2"/>
        <charset val="238"/>
      </rPr>
      <t>Brunnera macrophylla</t>
    </r>
    <r>
      <rPr>
        <sz val="9"/>
        <rFont val="Arial"/>
        <family val="2"/>
        <charset val="238"/>
      </rPr>
      <t xml:space="preserve"> ´Betty Bowring´</t>
    </r>
  </si>
  <si>
    <t>pomněnkovec</t>
  </si>
  <si>
    <t>Tul Fla Spr Gre</t>
  </si>
  <si>
    <r>
      <rPr>
        <i/>
        <sz val="9"/>
        <color indexed="8"/>
        <rFont val="Arial"/>
        <family val="2"/>
        <charset val="238"/>
      </rPr>
      <t>Tulipa</t>
    </r>
    <r>
      <rPr>
        <sz val="9"/>
        <color indexed="8"/>
        <rFont val="Arial"/>
        <family val="2"/>
        <charset val="238"/>
      </rPr>
      <t xml:space="preserve"> ´Flaming Spring Green´</t>
    </r>
  </si>
  <si>
    <t>Bru mac</t>
  </si>
  <si>
    <t>Tul Jan Reu</t>
  </si>
  <si>
    <r>
      <rPr>
        <i/>
        <sz val="9"/>
        <color indexed="8"/>
        <rFont val="Arial"/>
        <family val="2"/>
        <charset val="238"/>
      </rPr>
      <t>Tulipa</t>
    </r>
    <r>
      <rPr>
        <sz val="9"/>
        <color indexed="8"/>
        <rFont val="Arial"/>
        <family val="2"/>
        <charset val="238"/>
      </rPr>
      <t xml:space="preserve"> ´Jan Reus´</t>
    </r>
  </si>
  <si>
    <t>Bug pur</t>
  </si>
  <si>
    <t>kamejka</t>
  </si>
  <si>
    <t>Tul Pur Dre</t>
  </si>
  <si>
    <r>
      <rPr>
        <i/>
        <sz val="9"/>
        <color indexed="8"/>
        <rFont val="Arial"/>
        <family val="2"/>
        <charset val="238"/>
      </rPr>
      <t>Tulipa</t>
    </r>
    <r>
      <rPr>
        <sz val="9"/>
        <color indexed="8"/>
        <rFont val="Arial"/>
        <family val="2"/>
        <charset val="238"/>
      </rPr>
      <t xml:space="preserve"> ´Purple Dream´</t>
    </r>
  </si>
  <si>
    <t>Cor Moo</t>
  </si>
  <si>
    <r>
      <rPr>
        <i/>
        <sz val="9"/>
        <color indexed="8"/>
        <rFont val="Arial"/>
        <family val="2"/>
        <charset val="238"/>
      </rPr>
      <t>Coreopsis</t>
    </r>
    <r>
      <rPr>
        <sz val="9"/>
        <color indexed="8"/>
        <rFont val="Arial"/>
        <family val="2"/>
        <charset val="238"/>
      </rPr>
      <t xml:space="preserve"> ´Moonbeam´</t>
    </r>
  </si>
  <si>
    <t>krásnoočko</t>
  </si>
  <si>
    <t>Tul Spr Gre</t>
  </si>
  <si>
    <r>
      <rPr>
        <i/>
        <sz val="9"/>
        <color indexed="8"/>
        <rFont val="Arial"/>
        <family val="2"/>
        <charset val="238"/>
      </rPr>
      <t>Tulipa</t>
    </r>
    <r>
      <rPr>
        <sz val="9"/>
        <color indexed="8"/>
        <rFont val="Arial"/>
        <family val="2"/>
        <charset val="238"/>
      </rPr>
      <t xml:space="preserve"> ´Spring Green´</t>
    </r>
  </si>
  <si>
    <t>Echi pal</t>
  </si>
  <si>
    <t>třapatka</t>
  </si>
  <si>
    <t>Tul Wes Poi</t>
  </si>
  <si>
    <r>
      <rPr>
        <i/>
        <sz val="9"/>
        <color indexed="8"/>
        <rFont val="Arial"/>
        <family val="2"/>
        <charset val="238"/>
      </rPr>
      <t>Tulipa</t>
    </r>
    <r>
      <rPr>
        <sz val="9"/>
        <color indexed="8"/>
        <rFont val="Arial"/>
        <family val="2"/>
        <charset val="238"/>
      </rPr>
      <t xml:space="preserve"> ´West Point´</t>
    </r>
  </si>
  <si>
    <t>Epi Fro</t>
  </si>
  <si>
    <r>
      <t xml:space="preserve">Epimedium x perralchicum </t>
    </r>
    <r>
      <rPr>
        <sz val="9"/>
        <rFont val="Arial"/>
        <family val="2"/>
        <charset val="238"/>
      </rPr>
      <t>´Frohnleiten´</t>
    </r>
  </si>
  <si>
    <t>škornice</t>
  </si>
  <si>
    <t>Tul Whi Tri</t>
  </si>
  <si>
    <r>
      <rPr>
        <i/>
        <sz val="9"/>
        <color indexed="8"/>
        <rFont val="Arial"/>
        <family val="2"/>
        <charset val="238"/>
      </rPr>
      <t>Tulipa</t>
    </r>
    <r>
      <rPr>
        <sz val="9"/>
        <color indexed="8"/>
        <rFont val="Arial"/>
        <family val="2"/>
        <charset val="238"/>
      </rPr>
      <t xml:space="preserve"> ´White Triumphator´</t>
    </r>
  </si>
  <si>
    <t>Eup amy Pur</t>
  </si>
  <si>
    <r>
      <rPr>
        <i/>
        <sz val="9"/>
        <color indexed="8"/>
        <rFont val="Arial"/>
        <family val="2"/>
        <charset val="238"/>
      </rPr>
      <t>Euphorbia amygdaloides</t>
    </r>
    <r>
      <rPr>
        <sz val="9"/>
        <color indexed="8"/>
        <rFont val="Arial"/>
        <family val="2"/>
        <charset val="238"/>
      </rPr>
      <t xml:space="preserve"> ´Purpurea´</t>
    </r>
  </si>
  <si>
    <t>pryšec</t>
  </si>
  <si>
    <t>Eup pol</t>
  </si>
  <si>
    <t>Ger Bio</t>
  </si>
  <si>
    <r>
      <t>Geranium x cantabrigiense ´</t>
    </r>
    <r>
      <rPr>
        <sz val="9"/>
        <rFont val="Arial"/>
        <family val="2"/>
        <charset val="238"/>
      </rPr>
      <t>Biokovo´</t>
    </r>
  </si>
  <si>
    <t>kakost</t>
  </si>
  <si>
    <t>Ger Kar</t>
  </si>
  <si>
    <r>
      <t>Geranium x cantabrigiense ´</t>
    </r>
    <r>
      <rPr>
        <sz val="9"/>
        <rFont val="Arial"/>
        <family val="2"/>
        <charset val="238"/>
      </rPr>
      <t>Karmina´</t>
    </r>
  </si>
  <si>
    <t>Ger mag</t>
  </si>
  <si>
    <t>Geu Bor</t>
  </si>
  <si>
    <t>kuklík</t>
  </si>
  <si>
    <t>Hak Alb</t>
  </si>
  <si>
    <r>
      <rPr>
        <i/>
        <sz val="9"/>
        <color indexed="8"/>
        <rFont val="Arial"/>
        <family val="2"/>
        <charset val="238"/>
      </rPr>
      <t>Hakonechloa macra</t>
    </r>
    <r>
      <rPr>
        <sz val="9"/>
        <color indexed="8"/>
        <rFont val="Arial"/>
        <family val="2"/>
        <charset val="238"/>
      </rPr>
      <t xml:space="preserve"> ´Albolineata´</t>
    </r>
  </si>
  <si>
    <t>hakonechloa</t>
  </si>
  <si>
    <t>Hel Ben Fha</t>
  </si>
  <si>
    <r>
      <rPr>
        <i/>
        <sz val="9"/>
        <color indexed="8"/>
        <rFont val="Arial"/>
        <family val="2"/>
        <charset val="238"/>
      </rPr>
      <t>Helianthemum</t>
    </r>
    <r>
      <rPr>
        <sz val="9"/>
        <color indexed="8"/>
        <rFont val="Arial"/>
        <family val="2"/>
        <charset val="238"/>
      </rPr>
      <t xml:space="preserve"> ´Ben Fhada´</t>
    </r>
  </si>
  <si>
    <t>devaterník</t>
  </si>
  <si>
    <t>Hel Har Rub</t>
  </si>
  <si>
    <r>
      <rPr>
        <i/>
        <sz val="9"/>
        <color indexed="8"/>
        <rFont val="Arial"/>
        <family val="2"/>
        <charset val="238"/>
      </rPr>
      <t>Helianthemum</t>
    </r>
    <r>
      <rPr>
        <sz val="9"/>
        <color indexed="8"/>
        <rFont val="Arial"/>
        <family val="2"/>
        <charset val="238"/>
      </rPr>
      <t xml:space="preserve"> ´Hartswood Ruby´</t>
    </r>
  </si>
  <si>
    <t>Hel ori agg</t>
  </si>
  <si>
    <t>Helleborus orientalis agg.</t>
  </si>
  <si>
    <t>čemeřice</t>
  </si>
  <si>
    <t>Hel The Bri</t>
  </si>
  <si>
    <r>
      <rPr>
        <i/>
        <sz val="9"/>
        <color indexed="8"/>
        <rFont val="Arial"/>
        <family val="2"/>
        <charset val="238"/>
      </rPr>
      <t>Helianthemum</t>
    </r>
    <r>
      <rPr>
        <sz val="9"/>
        <color indexed="8"/>
        <rFont val="Arial"/>
        <family val="2"/>
        <charset val="238"/>
      </rPr>
      <t xml:space="preserve"> ´The Bride´</t>
    </r>
  </si>
  <si>
    <t>Hel Ven</t>
  </si>
  <si>
    <r>
      <rPr>
        <i/>
        <sz val="9"/>
        <color indexed="8"/>
        <rFont val="Arial"/>
        <family val="2"/>
        <charset val="238"/>
      </rPr>
      <t>Heliopsis helianthoides</t>
    </r>
    <r>
      <rPr>
        <sz val="9"/>
        <color indexed="8"/>
        <rFont val="Arial"/>
        <family val="2"/>
        <charset val="238"/>
      </rPr>
      <t xml:space="preserve"> ´Venus´</t>
    </r>
  </si>
  <si>
    <t>janeba</t>
  </si>
  <si>
    <t>Hel Wis Pin</t>
  </si>
  <si>
    <r>
      <rPr>
        <i/>
        <sz val="9"/>
        <color indexed="8"/>
        <rFont val="Arial"/>
        <family val="2"/>
        <charset val="238"/>
      </rPr>
      <t>Helianthemum</t>
    </r>
    <r>
      <rPr>
        <sz val="9"/>
        <color indexed="8"/>
        <rFont val="Arial"/>
        <family val="2"/>
        <charset val="238"/>
      </rPr>
      <t xml:space="preserve"> ´Wisley Pink´</t>
    </r>
  </si>
  <si>
    <t>Hel Wis Při</t>
  </si>
  <si>
    <r>
      <rPr>
        <i/>
        <sz val="9"/>
        <color indexed="8"/>
        <rFont val="Arial"/>
        <family val="2"/>
        <charset val="238"/>
      </rPr>
      <t>Helianthemum</t>
    </r>
    <r>
      <rPr>
        <sz val="9"/>
        <color indexed="8"/>
        <rFont val="Arial"/>
        <family val="2"/>
        <charset val="238"/>
      </rPr>
      <t xml:space="preserve"> ´Wisley Primrose´</t>
    </r>
  </si>
  <si>
    <t>Hem Bri Cir</t>
  </si>
  <si>
    <r>
      <rPr>
        <i/>
        <sz val="9"/>
        <color indexed="8"/>
        <rFont val="Arial"/>
        <family val="2"/>
        <charset val="238"/>
      </rPr>
      <t>Hemerocallis</t>
    </r>
    <r>
      <rPr>
        <sz val="9"/>
        <color indexed="8"/>
        <rFont val="Arial"/>
        <family val="2"/>
        <charset val="238"/>
      </rPr>
      <t xml:space="preserve"> ´Brilliant Circle´</t>
    </r>
  </si>
  <si>
    <t>denivka</t>
  </si>
  <si>
    <t>p11</t>
  </si>
  <si>
    <t>Hem Lav Dea</t>
  </si>
  <si>
    <t>Hem Moe Bea</t>
  </si>
  <si>
    <r>
      <rPr>
        <i/>
        <sz val="9"/>
        <color indexed="8"/>
        <rFont val="Arial"/>
        <family val="2"/>
        <charset val="238"/>
      </rPr>
      <t>Helenium</t>
    </r>
    <r>
      <rPr>
        <sz val="9"/>
        <color indexed="8"/>
        <rFont val="Arial"/>
        <family val="2"/>
        <charset val="238"/>
      </rPr>
      <t xml:space="preserve"> ´Moerheim Beauty´</t>
    </r>
  </si>
  <si>
    <t>záplevák</t>
  </si>
  <si>
    <t>Hem Par Me</t>
  </si>
  <si>
    <t>Hem Yel Lol</t>
  </si>
  <si>
    <t>Hos Blu Ang</t>
  </si>
  <si>
    <r>
      <rPr>
        <i/>
        <sz val="9"/>
        <color indexed="8"/>
        <rFont val="Arial"/>
        <family val="2"/>
        <charset val="238"/>
      </rPr>
      <t>Hosta</t>
    </r>
    <r>
      <rPr>
        <sz val="9"/>
        <color indexed="8"/>
        <rFont val="Arial"/>
        <family val="2"/>
        <charset val="238"/>
      </rPr>
      <t xml:space="preserve"> ´Blue Angel´</t>
    </r>
  </si>
  <si>
    <t>bohyška</t>
  </si>
  <si>
    <t>Hos Sec Win</t>
  </si>
  <si>
    <r>
      <rPr>
        <i/>
        <sz val="9"/>
        <color indexed="8"/>
        <rFont val="Arial"/>
        <family val="2"/>
        <charset val="238"/>
      </rPr>
      <t>Hosta</t>
    </r>
    <r>
      <rPr>
        <sz val="9"/>
        <color indexed="8"/>
        <rFont val="Arial"/>
        <family val="2"/>
        <charset val="238"/>
      </rPr>
      <t xml:space="preserve"> ´Second Wind´</t>
    </r>
  </si>
  <si>
    <t>Ibe Ale Whi</t>
  </si>
  <si>
    <r>
      <rPr>
        <i/>
        <sz val="9"/>
        <color indexed="8"/>
        <rFont val="Arial"/>
        <family val="2"/>
        <charset val="238"/>
      </rPr>
      <t>Iberis</t>
    </r>
    <r>
      <rPr>
        <sz val="9"/>
        <color indexed="8"/>
        <rFont val="Arial"/>
        <family val="2"/>
        <charset val="238"/>
      </rPr>
      <t xml:space="preserve"> ´Alexander´s White´</t>
    </r>
  </si>
  <si>
    <t>iberka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</si>
</sst>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Kč&quot;_-;\-* #,##0.00\ &quot;Kč&quot;_-;_-* &quot;-&quot;??\ &quot;Kč&quot;_-;_-@_-"/>
    <numFmt numFmtId="164" formatCode="dd/mm/yy"/>
    <numFmt numFmtId="165" formatCode="0.0"/>
    <numFmt numFmtId="166" formatCode="#,##0\ &quot;Kč&quot;"/>
    <numFmt numFmtId="167" formatCode="[$-F800]dddd\,\ mmmm\ dd\,\ yyyy"/>
    <numFmt numFmtId="168" formatCode="0.0000"/>
    <numFmt numFmtId="169" formatCode="0.000"/>
    <numFmt numFmtId="170" formatCode="_-* #,##0.00\ [$Kč-405]_-;\-* #,##0.00\ [$Kč-405]_-;_-* &quot;-&quot;??\ [$Kč-405]_-;_-@_-"/>
    <numFmt numFmtId="171" formatCode="#,##0.0000"/>
    <numFmt numFmtId="172" formatCode="#,##0.000"/>
    <numFmt numFmtId="173" formatCode="0.0E+00"/>
  </numFmts>
  <fonts count="4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10"/>
      <name val="Arial Narrow"/>
      <family val="2"/>
      <charset val="238"/>
    </font>
    <font>
      <b/>
      <sz val="16"/>
      <color indexed="9"/>
      <name val="Arial Narrow"/>
      <family val="2"/>
      <charset val="238"/>
    </font>
    <font>
      <b/>
      <sz val="26"/>
      <color indexed="9"/>
      <name val="Arial Narrow"/>
      <family val="2"/>
      <charset val="238"/>
    </font>
    <font>
      <sz val="11"/>
      <color indexed="9"/>
      <name val="Arial Narrow"/>
      <family val="2"/>
      <charset val="238"/>
    </font>
    <font>
      <b/>
      <sz val="14"/>
      <color indexed="9"/>
      <name val="Arial Narrow"/>
      <family val="2"/>
      <charset val="238"/>
    </font>
    <font>
      <sz val="14"/>
      <color indexed="9"/>
      <name val="Arial Narrow"/>
      <family val="2"/>
      <charset val="238"/>
    </font>
    <font>
      <b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color theme="1"/>
      <name val="Arial Narrow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0.5"/>
      <name val="Arial Narrow"/>
      <family val="2"/>
      <charset val="238"/>
    </font>
    <font>
      <sz val="8"/>
      <name val="Arial CE"/>
      <charset val="238"/>
    </font>
    <font>
      <i/>
      <sz val="8"/>
      <name val="Arial"/>
      <family val="2"/>
      <charset val="238"/>
    </font>
    <font>
      <strike/>
      <sz val="8"/>
      <name val="Arial"/>
      <family val="2"/>
      <charset val="238"/>
    </font>
    <font>
      <i/>
      <sz val="10"/>
      <name val="Arial CE"/>
      <charset val="238"/>
    </font>
    <font>
      <strike/>
      <sz val="10"/>
      <name val="Arial"/>
      <family val="2"/>
      <charset val="238"/>
    </font>
    <font>
      <i/>
      <strike/>
      <sz val="8"/>
      <name val="Arial"/>
      <family val="2"/>
      <charset val="238"/>
    </font>
    <font>
      <i/>
      <strike/>
      <sz val="10"/>
      <name val="Arial CE"/>
      <charset val="238"/>
    </font>
    <font>
      <sz val="11"/>
      <name val="Calibri"/>
      <family val="2"/>
      <charset val="238"/>
    </font>
    <font>
      <b/>
      <sz val="8"/>
      <name val="Arial CE"/>
      <charset val="238"/>
    </font>
    <font>
      <i/>
      <sz val="12"/>
      <name val="Arial"/>
      <family val="2"/>
      <charset val="238"/>
    </font>
    <font>
      <b/>
      <strike/>
      <sz val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rgb="FF1C1C1C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/>
      <bottom style="double">
        <color auto="1"/>
      </bottom>
      <diagonal/>
    </border>
  </borders>
  <cellStyleXfs count="8">
    <xf numFmtId="0" fontId="0" fillId="0" borderId="0"/>
    <xf numFmtId="0" fontId="22" fillId="0" borderId="0"/>
    <xf numFmtId="0" fontId="10" fillId="0" borderId="0"/>
    <xf numFmtId="168" fontId="2" fillId="0" borderId="61" applyBorder="0" applyAlignment="0"/>
    <xf numFmtId="169" fontId="2" fillId="0" borderId="62" applyBorder="0" applyAlignment="0"/>
    <xf numFmtId="44" fontId="2" fillId="0" borderId="0" applyFont="0" applyFill="0" applyBorder="0" applyAlignment="0" applyProtection="0"/>
    <xf numFmtId="0" fontId="1" fillId="0" borderId="0"/>
    <xf numFmtId="0" fontId="4" fillId="0" borderId="0"/>
  </cellStyleXfs>
  <cellXfs count="522">
    <xf numFmtId="0" fontId="0" fillId="0" borderId="0" xfId="0"/>
    <xf numFmtId="0" fontId="3" fillId="0" borderId="1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Continuous"/>
    </xf>
    <xf numFmtId="0" fontId="5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Continuous"/>
    </xf>
    <xf numFmtId="49" fontId="7" fillId="2" borderId="4" xfId="0" applyNumberFormat="1" applyFont="1" applyFill="1" applyBorder="1" applyAlignment="1">
      <alignment horizontal="left"/>
    </xf>
    <xf numFmtId="0" fontId="6" fillId="0" borderId="5" xfId="0" applyFont="1" applyBorder="1"/>
    <xf numFmtId="49" fontId="6" fillId="0" borderId="6" xfId="0" applyNumberFormat="1" applyFont="1" applyBorder="1" applyAlignment="1">
      <alignment horizontal="left"/>
    </xf>
    <xf numFmtId="0" fontId="4" fillId="0" borderId="7" xfId="0" applyFont="1" applyBorder="1"/>
    <xf numFmtId="0" fontId="6" fillId="0" borderId="8" xfId="0" applyFont="1" applyBorder="1"/>
    <xf numFmtId="49" fontId="6" fillId="0" borderId="9" xfId="0" applyNumberFormat="1" applyFont="1" applyBorder="1"/>
    <xf numFmtId="49" fontId="6" fillId="0" borderId="8" xfId="0" applyNumberFormat="1" applyFont="1" applyBorder="1"/>
    <xf numFmtId="0" fontId="6" fillId="0" borderId="10" xfId="0" applyFont="1" applyBorder="1"/>
    <xf numFmtId="0" fontId="6" fillId="0" borderId="11" xfId="0" applyFont="1" applyBorder="1" applyAlignment="1">
      <alignment horizontal="left"/>
    </xf>
    <xf numFmtId="0" fontId="5" fillId="0" borderId="7" xfId="0" applyFont="1" applyBorder="1"/>
    <xf numFmtId="49" fontId="6" fillId="0" borderId="11" xfId="0" applyNumberFormat="1" applyFont="1" applyBorder="1" applyAlignment="1">
      <alignment horizontal="left"/>
    </xf>
    <xf numFmtId="49" fontId="4" fillId="2" borderId="8" xfId="0" applyNumberFormat="1" applyFont="1" applyFill="1" applyBorder="1"/>
    <xf numFmtId="49" fontId="5" fillId="2" borderId="9" xfId="0" applyNumberFormat="1" applyFont="1" applyFill="1" applyBorder="1"/>
    <xf numFmtId="49" fontId="4" fillId="2" borderId="9" xfId="0" applyNumberFormat="1" applyFont="1" applyFill="1" applyBorder="1"/>
    <xf numFmtId="0" fontId="6" fillId="0" borderId="10" xfId="0" applyFont="1" applyFill="1" applyBorder="1"/>
    <xf numFmtId="3" fontId="6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3" xfId="0" applyNumberFormat="1" applyFont="1" applyFill="1" applyBorder="1"/>
    <xf numFmtId="49" fontId="6" fillId="0" borderId="10" xfId="0" applyNumberFormat="1" applyFont="1" applyBorder="1" applyAlignment="1">
      <alignment horizontal="left"/>
    </xf>
    <xf numFmtId="0" fontId="6" fillId="0" borderId="14" xfId="0" applyFont="1" applyBorder="1"/>
    <xf numFmtId="0" fontId="6" fillId="0" borderId="10" xfId="0" applyNumberFormat="1" applyFont="1" applyBorder="1"/>
    <xf numFmtId="0" fontId="6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6" fillId="0" borderId="15" xfId="0" applyFont="1" applyBorder="1" applyAlignment="1">
      <alignment horizontal="left"/>
    </xf>
    <xf numFmtId="0" fontId="0" fillId="0" borderId="0" xfId="0" applyBorder="1"/>
    <xf numFmtId="0" fontId="6" fillId="0" borderId="10" xfId="0" applyFont="1" applyFill="1" applyBorder="1" applyAlignment="1"/>
    <xf numFmtId="0" fontId="6" fillId="0" borderId="15" xfId="0" applyFont="1" applyFill="1" applyBorder="1" applyAlignment="1"/>
    <xf numFmtId="0" fontId="2" fillId="0" borderId="0" xfId="0" applyFont="1" applyFill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3" fontId="0" fillId="0" borderId="0" xfId="0" applyNumberFormat="1"/>
    <xf numFmtId="0" fontId="6" fillId="0" borderId="7" xfId="0" applyFont="1" applyBorder="1"/>
    <xf numFmtId="0" fontId="6" fillId="0" borderId="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5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Continuous"/>
    </xf>
    <xf numFmtId="0" fontId="5" fillId="2" borderId="21" xfId="0" applyFont="1" applyFill="1" applyBorder="1" applyAlignment="1">
      <alignment horizontal="centerContinuous"/>
    </xf>
    <xf numFmtId="0" fontId="4" fillId="2" borderId="21" xfId="0" applyFont="1" applyFill="1" applyBorder="1" applyAlignment="1">
      <alignment horizontal="centerContinuous"/>
    </xf>
    <xf numFmtId="0" fontId="4" fillId="0" borderId="23" xfId="0" applyFont="1" applyBorder="1"/>
    <xf numFmtId="0" fontId="4" fillId="0" borderId="24" xfId="0" applyFont="1" applyBorder="1"/>
    <xf numFmtId="3" fontId="4" fillId="0" borderId="6" xfId="0" applyNumberFormat="1" applyFont="1" applyBorder="1"/>
    <xf numFmtId="0" fontId="4" fillId="0" borderId="2" xfId="0" applyFont="1" applyBorder="1"/>
    <xf numFmtId="3" fontId="4" fillId="0" borderId="4" xfId="0" applyNumberFormat="1" applyFont="1" applyBorder="1"/>
    <xf numFmtId="0" fontId="4" fillId="0" borderId="3" xfId="0" applyFont="1" applyBorder="1"/>
    <xf numFmtId="3" fontId="4" fillId="0" borderId="9" xfId="0" applyNumberFormat="1" applyFont="1" applyBorder="1"/>
    <xf numFmtId="0" fontId="4" fillId="0" borderId="8" xfId="0" applyFont="1" applyBorder="1"/>
    <xf numFmtId="0" fontId="4" fillId="0" borderId="25" xfId="0" applyFont="1" applyBorder="1"/>
    <xf numFmtId="0" fontId="4" fillId="0" borderId="24" xfId="0" applyFont="1" applyBorder="1" applyAlignment="1">
      <alignment shrinkToFit="1"/>
    </xf>
    <xf numFmtId="0" fontId="4" fillId="0" borderId="26" xfId="0" applyFont="1" applyBorder="1"/>
    <xf numFmtId="0" fontId="4" fillId="0" borderId="12" xfId="0" applyFont="1" applyBorder="1"/>
    <xf numFmtId="0" fontId="4" fillId="0" borderId="0" xfId="0" applyFont="1" applyBorder="1"/>
    <xf numFmtId="3" fontId="4" fillId="0" borderId="27" xfId="0" applyNumberFormat="1" applyFont="1" applyBorder="1"/>
    <xf numFmtId="0" fontId="4" fillId="0" borderId="28" xfId="0" applyFont="1" applyBorder="1"/>
    <xf numFmtId="3" fontId="4" fillId="0" borderId="29" xfId="0" applyNumberFormat="1" applyFont="1" applyBorder="1"/>
    <xf numFmtId="0" fontId="4" fillId="0" borderId="30" xfId="0" applyFont="1" applyBorder="1"/>
    <xf numFmtId="0" fontId="5" fillId="2" borderId="2" xfId="0" applyFont="1" applyFill="1" applyBorder="1"/>
    <xf numFmtId="0" fontId="5" fillId="2" borderId="4" xfId="0" applyFont="1" applyFill="1" applyBorder="1"/>
    <xf numFmtId="0" fontId="5" fillId="2" borderId="3" xfId="0" applyFont="1" applyFill="1" applyBorder="1"/>
    <xf numFmtId="0" fontId="5" fillId="2" borderId="31" xfId="0" applyFont="1" applyFill="1" applyBorder="1"/>
    <xf numFmtId="0" fontId="5" fillId="2" borderId="32" xfId="0" applyFont="1" applyFill="1" applyBorder="1"/>
    <xf numFmtId="0" fontId="4" fillId="0" borderId="13" xfId="0" applyFont="1" applyBorder="1"/>
    <xf numFmtId="0" fontId="4" fillId="0" borderId="0" xfId="0" applyFont="1"/>
    <xf numFmtId="0" fontId="4" fillId="0" borderId="33" xfId="0" applyFont="1" applyBorder="1"/>
    <xf numFmtId="0" fontId="4" fillId="0" borderId="34" xfId="0" applyFont="1" applyBorder="1"/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/>
    <xf numFmtId="0" fontId="4" fillId="0" borderId="0" xfId="0" applyFont="1" applyFill="1" applyBorder="1"/>
    <xf numFmtId="0" fontId="4" fillId="0" borderId="35" xfId="0" applyFont="1" applyBorder="1"/>
    <xf numFmtId="0" fontId="4" fillId="0" borderId="36" xfId="0" applyFont="1" applyBorder="1"/>
    <xf numFmtId="0" fontId="4" fillId="0" borderId="37" xfId="0" applyFont="1" applyBorder="1"/>
    <xf numFmtId="0" fontId="4" fillId="0" borderId="38" xfId="0" applyFont="1" applyBorder="1"/>
    <xf numFmtId="165" fontId="4" fillId="0" borderId="39" xfId="0" applyNumberFormat="1" applyFont="1" applyBorder="1" applyAlignment="1">
      <alignment horizontal="right"/>
    </xf>
    <xf numFmtId="0" fontId="4" fillId="0" borderId="39" xfId="0" applyFont="1" applyBorder="1"/>
    <xf numFmtId="0" fontId="4" fillId="0" borderId="9" xfId="0" applyFont="1" applyBorder="1"/>
    <xf numFmtId="165" fontId="4" fillId="0" borderId="8" xfId="0" applyNumberFormat="1" applyFont="1" applyBorder="1" applyAlignment="1">
      <alignment horizontal="right"/>
    </xf>
    <xf numFmtId="0" fontId="8" fillId="2" borderId="28" xfId="0" applyFont="1" applyFill="1" applyBorder="1"/>
    <xf numFmtId="0" fontId="8" fillId="2" borderId="29" xfId="0" applyFont="1" applyFill="1" applyBorder="1"/>
    <xf numFmtId="0" fontId="8" fillId="2" borderId="30" xfId="0" applyFont="1" applyFill="1" applyBorder="1"/>
    <xf numFmtId="0" fontId="9" fillId="0" borderId="0" xfId="0" applyFont="1"/>
    <xf numFmtId="0" fontId="0" fillId="0" borderId="0" xfId="0" applyAlignment="1"/>
    <xf numFmtId="0" fontId="4" fillId="0" borderId="41" xfId="2" applyFont="1" applyBorder="1"/>
    <xf numFmtId="0" fontId="4" fillId="0" borderId="42" xfId="0" applyNumberFormat="1" applyFont="1" applyBorder="1"/>
    <xf numFmtId="49" fontId="5" fillId="0" borderId="43" xfId="2" applyNumberFormat="1" applyFont="1" applyBorder="1"/>
    <xf numFmtId="49" fontId="4" fillId="0" borderId="43" xfId="2" applyNumberFormat="1" applyFont="1" applyBorder="1"/>
    <xf numFmtId="49" fontId="4" fillId="0" borderId="43" xfId="2" applyNumberFormat="1" applyFont="1" applyBorder="1" applyAlignment="1">
      <alignment horizontal="right"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5" fillId="2" borderId="20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6" fillId="0" borderId="0" xfId="0" applyFont="1" applyBorder="1"/>
    <xf numFmtId="3" fontId="4" fillId="0" borderId="34" xfId="0" applyNumberFormat="1" applyFont="1" applyBorder="1"/>
    <xf numFmtId="0" fontId="5" fillId="2" borderId="20" xfId="0" applyFont="1" applyFill="1" applyBorder="1"/>
    <xf numFmtId="0" fontId="5" fillId="2" borderId="21" xfId="0" applyFont="1" applyFill="1" applyBorder="1"/>
    <xf numFmtId="3" fontId="5" fillId="2" borderId="22" xfId="0" applyNumberFormat="1" applyFont="1" applyFill="1" applyBorder="1"/>
    <xf numFmtId="3" fontId="5" fillId="2" borderId="45" xfId="0" applyNumberFormat="1" applyFont="1" applyFill="1" applyBorder="1"/>
    <xf numFmtId="3" fontId="5" fillId="2" borderId="46" xfId="0" applyNumberFormat="1" applyFont="1" applyFill="1" applyBorder="1"/>
    <xf numFmtId="0" fontId="11" fillId="0" borderId="0" xfId="0" applyFont="1"/>
    <xf numFmtId="3" fontId="3" fillId="0" borderId="0" xfId="0" applyNumberFormat="1" applyFont="1" applyAlignment="1">
      <alignment horizontal="centerContinuous"/>
    </xf>
    <xf numFmtId="0" fontId="4" fillId="2" borderId="32" xfId="0" applyFont="1" applyFill="1" applyBorder="1"/>
    <xf numFmtId="0" fontId="5" fillId="2" borderId="47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4" fontId="7" fillId="2" borderId="4" xfId="0" applyNumberFormat="1" applyFont="1" applyFill="1" applyBorder="1" applyAlignment="1">
      <alignment horizontal="right"/>
    </xf>
    <xf numFmtId="4" fontId="7" fillId="2" borderId="32" xfId="0" applyNumberFormat="1" applyFont="1" applyFill="1" applyBorder="1" applyAlignment="1">
      <alignment horizontal="right"/>
    </xf>
    <xf numFmtId="0" fontId="4" fillId="0" borderId="16" xfId="0" applyFont="1" applyBorder="1"/>
    <xf numFmtId="3" fontId="4" fillId="0" borderId="25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3" fontId="4" fillId="0" borderId="35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0" fontId="4" fillId="2" borderId="28" xfId="0" applyFont="1" applyFill="1" applyBorder="1"/>
    <xf numFmtId="0" fontId="5" fillId="2" borderId="29" xfId="0" applyFont="1" applyFill="1" applyBorder="1"/>
    <xf numFmtId="0" fontId="4" fillId="2" borderId="29" xfId="0" applyFont="1" applyFill="1" applyBorder="1"/>
    <xf numFmtId="4" fontId="4" fillId="2" borderId="48" xfId="0" applyNumberFormat="1" applyFont="1" applyFill="1" applyBorder="1"/>
    <xf numFmtId="4" fontId="4" fillId="2" borderId="28" xfId="0" applyNumberFormat="1" applyFont="1" applyFill="1" applyBorder="1"/>
    <xf numFmtId="4" fontId="4" fillId="2" borderId="29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3" fontId="4" fillId="0" borderId="49" xfId="0" applyNumberFormat="1" applyFont="1" applyBorder="1"/>
    <xf numFmtId="3" fontId="4" fillId="0" borderId="51" xfId="0" applyNumberFormat="1" applyFont="1" applyBorder="1"/>
    <xf numFmtId="0" fontId="14" fillId="0" borderId="0" xfId="1" applyNumberFormat="1" applyFont="1" applyAlignment="1">
      <alignment horizontal="center"/>
    </xf>
    <xf numFmtId="0" fontId="14" fillId="0" borderId="0" xfId="1" applyNumberFormat="1" applyFont="1"/>
    <xf numFmtId="0" fontId="14" fillId="0" borderId="0" xfId="1" applyNumberFormat="1" applyFont="1" applyAlignment="1">
      <alignment vertical="center"/>
    </xf>
    <xf numFmtId="0" fontId="17" fillId="3" borderId="12" xfId="1" applyNumberFormat="1" applyFont="1" applyFill="1" applyBorder="1" applyAlignment="1">
      <alignment horizontal="right" vertical="center"/>
    </xf>
    <xf numFmtId="0" fontId="17" fillId="3" borderId="0" xfId="1" applyNumberFormat="1" applyFont="1" applyFill="1" applyBorder="1" applyAlignment="1">
      <alignment horizontal="right" vertical="center"/>
    </xf>
    <xf numFmtId="0" fontId="19" fillId="3" borderId="0" xfId="1" applyNumberFormat="1" applyFont="1" applyFill="1" applyBorder="1" applyAlignment="1">
      <alignment horizontal="right" vertical="center"/>
    </xf>
    <xf numFmtId="0" fontId="20" fillId="0" borderId="0" xfId="1" applyNumberFormat="1" applyFont="1" applyAlignment="1">
      <alignment horizontal="right"/>
    </xf>
    <xf numFmtId="1" fontId="6" fillId="0" borderId="12" xfId="0" applyNumberFormat="1" applyFont="1" applyBorder="1" applyAlignment="1">
      <alignment horizontal="left"/>
    </xf>
    <xf numFmtId="49" fontId="5" fillId="2" borderId="7" xfId="0" applyNumberFormat="1" applyFont="1" applyFill="1" applyBorder="1"/>
    <xf numFmtId="49" fontId="5" fillId="2" borderId="12" xfId="0" applyNumberFormat="1" applyFont="1" applyFill="1" applyBorder="1"/>
    <xf numFmtId="49" fontId="4" fillId="0" borderId="40" xfId="0" applyNumberFormat="1" applyFont="1" applyFill="1" applyBorder="1" applyAlignment="1">
      <alignment horizontal="left"/>
    </xf>
    <xf numFmtId="0" fontId="14" fillId="0" borderId="0" xfId="1" applyNumberFormat="1" applyFont="1" applyFill="1" applyAlignment="1">
      <alignment horizontal="center"/>
    </xf>
    <xf numFmtId="0" fontId="14" fillId="0" borderId="0" xfId="1" applyNumberFormat="1" applyFont="1" applyFill="1" applyAlignment="1">
      <alignment horizontal="right"/>
    </xf>
    <xf numFmtId="0" fontId="14" fillId="0" borderId="0" xfId="1" applyNumberFormat="1" applyFont="1" applyFill="1" applyAlignment="1">
      <alignment horizontal="left"/>
    </xf>
    <xf numFmtId="0" fontId="21" fillId="0" borderId="0" xfId="1" applyNumberFormat="1" applyFont="1" applyFill="1" applyAlignment="1">
      <alignment horizontal="right"/>
    </xf>
    <xf numFmtId="0" fontId="21" fillId="0" borderId="0" xfId="1" applyNumberFormat="1" applyFont="1" applyFill="1" applyAlignment="1"/>
    <xf numFmtId="14" fontId="21" fillId="0" borderId="0" xfId="1" applyNumberFormat="1" applyFont="1" applyFill="1" applyAlignment="1"/>
    <xf numFmtId="14" fontId="0" fillId="0" borderId="0" xfId="0" applyNumberFormat="1" applyFill="1" applyAlignment="1"/>
    <xf numFmtId="14" fontId="21" fillId="0" borderId="0" xfId="1" applyNumberFormat="1" applyFont="1" applyFill="1" applyAlignment="1">
      <alignment horizontal="right"/>
    </xf>
    <xf numFmtId="0" fontId="13" fillId="0" borderId="10" xfId="2" applyFont="1" applyFill="1" applyBorder="1" applyAlignment="1">
      <alignment vertical="top" wrapText="1"/>
    </xf>
    <xf numFmtId="0" fontId="23" fillId="0" borderId="10" xfId="2" applyFont="1" applyFill="1" applyBorder="1" applyAlignment="1">
      <alignment vertical="top" wrapText="1"/>
    </xf>
    <xf numFmtId="4" fontId="13" fillId="0" borderId="10" xfId="2" applyNumberFormat="1" applyFont="1" applyFill="1" applyBorder="1" applyAlignment="1">
      <alignment horizontal="right" vertical="top"/>
    </xf>
    <xf numFmtId="49" fontId="13" fillId="0" borderId="10" xfId="2" applyNumberFormat="1" applyFont="1" applyFill="1" applyBorder="1" applyAlignment="1">
      <alignment horizontal="center" vertical="top" shrinkToFit="1"/>
    </xf>
    <xf numFmtId="0" fontId="13" fillId="0" borderId="10" xfId="2" applyFont="1" applyFill="1" applyBorder="1" applyAlignment="1">
      <alignment vertical="top"/>
    </xf>
    <xf numFmtId="0" fontId="13" fillId="0" borderId="10" xfId="0" applyFont="1" applyFill="1" applyBorder="1"/>
    <xf numFmtId="0" fontId="13" fillId="0" borderId="0" xfId="2" applyFont="1" applyFill="1" applyAlignment="1">
      <alignment vertical="top"/>
    </xf>
    <xf numFmtId="0" fontId="13" fillId="0" borderId="40" xfId="2" applyFont="1" applyFill="1" applyBorder="1" applyAlignment="1">
      <alignment vertical="top"/>
    </xf>
    <xf numFmtId="49" fontId="23" fillId="0" borderId="43" xfId="2" applyNumberFormat="1" applyFont="1" applyFill="1" applyBorder="1" applyAlignment="1">
      <alignment vertical="top"/>
    </xf>
    <xf numFmtId="0" fontId="13" fillId="0" borderId="43" xfId="2" applyFont="1" applyFill="1" applyBorder="1" applyAlignment="1">
      <alignment vertical="top"/>
    </xf>
    <xf numFmtId="0" fontId="13" fillId="0" borderId="10" xfId="2" applyFont="1" applyFill="1" applyBorder="1" applyAlignment="1">
      <alignment horizontal="center" vertical="top"/>
    </xf>
    <xf numFmtId="0" fontId="23" fillId="0" borderId="10" xfId="2" applyFont="1" applyFill="1" applyBorder="1" applyAlignment="1">
      <alignment horizontal="center" vertical="top"/>
    </xf>
    <xf numFmtId="4" fontId="13" fillId="0" borderId="10" xfId="2" applyNumberFormat="1" applyFont="1" applyFill="1" applyBorder="1" applyAlignment="1">
      <alignment vertical="top"/>
    </xf>
    <xf numFmtId="0" fontId="23" fillId="0" borderId="0" xfId="2" applyFont="1" applyFill="1" applyAlignment="1">
      <alignment vertical="top"/>
    </xf>
    <xf numFmtId="0" fontId="23" fillId="0" borderId="10" xfId="2" applyFont="1" applyFill="1" applyBorder="1" applyAlignment="1">
      <alignment vertical="top"/>
    </xf>
    <xf numFmtId="0" fontId="13" fillId="0" borderId="10" xfId="0" applyFont="1" applyFill="1" applyBorder="1" applyAlignment="1"/>
    <xf numFmtId="0" fontId="24" fillId="0" borderId="10" xfId="2" applyFont="1" applyFill="1" applyBorder="1" applyAlignment="1">
      <alignment vertical="top"/>
    </xf>
    <xf numFmtId="4" fontId="23" fillId="0" borderId="10" xfId="2" applyNumberFormat="1" applyFont="1" applyFill="1" applyBorder="1" applyAlignment="1">
      <alignment horizontal="right" vertical="top"/>
    </xf>
    <xf numFmtId="0" fontId="13" fillId="0" borderId="0" xfId="2" applyFont="1" applyFill="1" applyBorder="1" applyAlignment="1">
      <alignment vertical="top"/>
    </xf>
    <xf numFmtId="0" fontId="13" fillId="0" borderId="63" xfId="2" applyFont="1" applyFill="1" applyBorder="1" applyAlignment="1">
      <alignment vertical="top"/>
    </xf>
    <xf numFmtId="9" fontId="13" fillId="0" borderId="10" xfId="2" applyNumberFormat="1" applyFont="1" applyFill="1" applyBorder="1" applyAlignment="1">
      <alignment vertical="top" wrapText="1"/>
    </xf>
    <xf numFmtId="0" fontId="13" fillId="0" borderId="5" xfId="2" applyFont="1" applyFill="1" applyBorder="1" applyAlignment="1">
      <alignment horizontal="center" vertical="top"/>
    </xf>
    <xf numFmtId="49" fontId="23" fillId="0" borderId="40" xfId="2" applyNumberFormat="1" applyFont="1" applyFill="1" applyBorder="1" applyAlignment="1">
      <alignment vertical="top" shrinkToFit="1"/>
    </xf>
    <xf numFmtId="4" fontId="13" fillId="0" borderId="41" xfId="2" applyNumberFormat="1" applyFont="1" applyFill="1" applyBorder="1" applyAlignment="1">
      <alignment horizontal="left" vertical="top"/>
    </xf>
    <xf numFmtId="4" fontId="13" fillId="0" borderId="0" xfId="2" applyNumberFormat="1" applyFont="1" applyFill="1" applyAlignment="1">
      <alignment horizontal="right" vertical="top"/>
    </xf>
    <xf numFmtId="4" fontId="13" fillId="0" borderId="0" xfId="2" applyNumberFormat="1" applyFont="1" applyFill="1" applyAlignment="1">
      <alignment vertical="top"/>
    </xf>
    <xf numFmtId="4" fontId="13" fillId="0" borderId="0" xfId="2" applyNumberFormat="1" applyFont="1" applyFill="1" applyBorder="1" applyAlignment="1">
      <alignment vertical="top"/>
    </xf>
    <xf numFmtId="4" fontId="13" fillId="0" borderId="40" xfId="2" applyNumberFormat="1" applyFont="1" applyFill="1" applyBorder="1" applyAlignment="1">
      <alignment horizontal="left" vertical="top"/>
    </xf>
    <xf numFmtId="3" fontId="13" fillId="0" borderId="0" xfId="2" applyNumberFormat="1" applyFont="1" applyFill="1" applyAlignment="1">
      <alignment vertical="top"/>
    </xf>
    <xf numFmtId="3" fontId="13" fillId="0" borderId="10" xfId="2" applyNumberFormat="1" applyFont="1" applyFill="1" applyBorder="1" applyAlignment="1">
      <alignment vertical="top"/>
    </xf>
    <xf numFmtId="3" fontId="23" fillId="0" borderId="10" xfId="2" applyNumberFormat="1" applyFont="1" applyFill="1" applyBorder="1" applyAlignment="1">
      <alignment vertical="top"/>
    </xf>
    <xf numFmtId="3" fontId="13" fillId="0" borderId="0" xfId="2" applyNumberFormat="1" applyFont="1" applyFill="1" applyBorder="1" applyAlignment="1">
      <alignment vertical="top"/>
    </xf>
    <xf numFmtId="0" fontId="13" fillId="0" borderId="63" xfId="2" applyFont="1" applyFill="1" applyBorder="1" applyAlignment="1">
      <alignment horizontal="center" vertical="top"/>
    </xf>
    <xf numFmtId="4" fontId="13" fillId="0" borderId="5" xfId="2" applyNumberFormat="1" applyFont="1" applyFill="1" applyBorder="1" applyAlignment="1">
      <alignment horizontal="right" vertical="top"/>
    </xf>
    <xf numFmtId="3" fontId="13" fillId="0" borderId="5" xfId="2" applyNumberFormat="1" applyFont="1" applyFill="1" applyBorder="1" applyAlignment="1">
      <alignment vertical="top"/>
    </xf>
    <xf numFmtId="49" fontId="23" fillId="0" borderId="64" xfId="2" applyNumberFormat="1" applyFont="1" applyFill="1" applyBorder="1" applyAlignment="1">
      <alignment horizontal="center"/>
    </xf>
    <xf numFmtId="0" fontId="23" fillId="0" borderId="45" xfId="2" applyFont="1" applyFill="1" applyBorder="1" applyAlignment="1">
      <alignment vertical="top"/>
    </xf>
    <xf numFmtId="0" fontId="13" fillId="0" borderId="45" xfId="2" applyFont="1" applyFill="1" applyBorder="1" applyAlignment="1">
      <alignment horizontal="center" vertical="top"/>
    </xf>
    <xf numFmtId="4" fontId="13" fillId="0" borderId="45" xfId="2" applyNumberFormat="1" applyFont="1" applyFill="1" applyBorder="1" applyAlignment="1">
      <alignment horizontal="right" vertical="top"/>
    </xf>
    <xf numFmtId="3" fontId="13" fillId="0" borderId="45" xfId="2" applyNumberFormat="1" applyFont="1" applyFill="1" applyBorder="1" applyAlignment="1">
      <alignment vertical="top"/>
    </xf>
    <xf numFmtId="0" fontId="24" fillId="0" borderId="63" xfId="2" applyFont="1" applyFill="1" applyBorder="1" applyAlignment="1">
      <alignment vertical="top"/>
    </xf>
    <xf numFmtId="0" fontId="23" fillId="0" borderId="63" xfId="2" applyFont="1" applyFill="1" applyBorder="1" applyAlignment="1">
      <alignment horizontal="center" vertical="top"/>
    </xf>
    <xf numFmtId="4" fontId="23" fillId="0" borderId="63" xfId="2" applyNumberFormat="1" applyFont="1" applyFill="1" applyBorder="1" applyAlignment="1">
      <alignment horizontal="right" vertical="top"/>
    </xf>
    <xf numFmtId="3" fontId="23" fillId="0" borderId="63" xfId="2" applyNumberFormat="1" applyFont="1" applyFill="1" applyBorder="1" applyAlignment="1">
      <alignment vertical="top"/>
    </xf>
    <xf numFmtId="0" fontId="13" fillId="0" borderId="63" xfId="2" applyFont="1" applyFill="1" applyBorder="1" applyAlignment="1">
      <alignment vertical="top" wrapText="1"/>
    </xf>
    <xf numFmtId="49" fontId="13" fillId="0" borderId="63" xfId="2" applyNumberFormat="1" applyFont="1" applyFill="1" applyBorder="1" applyAlignment="1">
      <alignment horizontal="center" vertical="top" shrinkToFit="1"/>
    </xf>
    <xf numFmtId="4" fontId="13" fillId="0" borderId="63" xfId="2" applyNumberFormat="1" applyFont="1" applyFill="1" applyBorder="1" applyAlignment="1">
      <alignment horizontal="right" vertical="top"/>
    </xf>
    <xf numFmtId="3" fontId="13" fillId="0" borderId="63" xfId="2" applyNumberFormat="1" applyFont="1" applyFill="1" applyBorder="1" applyAlignment="1">
      <alignment vertical="top"/>
    </xf>
    <xf numFmtId="0" fontId="23" fillId="0" borderId="5" xfId="2" applyFont="1" applyFill="1" applyBorder="1" applyAlignment="1">
      <alignment vertical="top" wrapText="1"/>
    </xf>
    <xf numFmtId="49" fontId="13" fillId="0" borderId="5" xfId="2" applyNumberFormat="1" applyFont="1" applyFill="1" applyBorder="1" applyAlignment="1">
      <alignment horizontal="center" vertical="top" shrinkToFit="1"/>
    </xf>
    <xf numFmtId="0" fontId="23" fillId="0" borderId="45" xfId="2" applyFont="1" applyFill="1" applyBorder="1" applyAlignment="1">
      <alignment vertical="top" wrapText="1"/>
    </xf>
    <xf numFmtId="49" fontId="13" fillId="0" borderId="45" xfId="2" applyNumberFormat="1" applyFont="1" applyFill="1" applyBorder="1" applyAlignment="1">
      <alignment horizontal="center" vertical="top" shrinkToFit="1"/>
    </xf>
    <xf numFmtId="0" fontId="23" fillId="0" borderId="63" xfId="2" applyFont="1" applyFill="1" applyBorder="1" applyAlignment="1">
      <alignment vertical="top"/>
    </xf>
    <xf numFmtId="0" fontId="13" fillId="0" borderId="5" xfId="2" applyFont="1" applyFill="1" applyBorder="1" applyAlignment="1">
      <alignment vertical="top" wrapText="1"/>
    </xf>
    <xf numFmtId="0" fontId="13" fillId="0" borderId="11" xfId="2" applyFont="1" applyFill="1" applyBorder="1" applyAlignment="1">
      <alignment vertical="top"/>
    </xf>
    <xf numFmtId="4" fontId="13" fillId="0" borderId="0" xfId="2" applyNumberFormat="1" applyFont="1" applyFill="1" applyBorder="1" applyAlignment="1">
      <alignment horizontal="right" vertical="top"/>
    </xf>
    <xf numFmtId="0" fontId="23" fillId="0" borderId="66" xfId="2" applyFont="1" applyFill="1" applyBorder="1" applyAlignment="1">
      <alignment vertical="top"/>
    </xf>
    <xf numFmtId="0" fontId="13" fillId="0" borderId="66" xfId="2" applyFont="1" applyFill="1" applyBorder="1" applyAlignment="1">
      <alignment horizontal="center" vertical="top"/>
    </xf>
    <xf numFmtId="4" fontId="13" fillId="0" borderId="66" xfId="2" applyNumberFormat="1" applyFont="1" applyFill="1" applyBorder="1" applyAlignment="1">
      <alignment horizontal="right" vertical="top"/>
    </xf>
    <xf numFmtId="3" fontId="13" fillId="0" borderId="66" xfId="2" applyNumberFormat="1" applyFont="1" applyFill="1" applyBorder="1" applyAlignment="1">
      <alignment vertical="top"/>
    </xf>
    <xf numFmtId="0" fontId="13" fillId="0" borderId="67" xfId="2" applyFont="1" applyFill="1" applyBorder="1" applyAlignment="1">
      <alignment vertical="top"/>
    </xf>
    <xf numFmtId="4" fontId="13" fillId="0" borderId="67" xfId="2" applyNumberFormat="1" applyFont="1" applyFill="1" applyBorder="1" applyAlignment="1">
      <alignment horizontal="right" vertical="top"/>
    </xf>
    <xf numFmtId="4" fontId="13" fillId="0" borderId="67" xfId="2" applyNumberFormat="1" applyFont="1" applyFill="1" applyBorder="1" applyAlignment="1">
      <alignment vertical="top"/>
    </xf>
    <xf numFmtId="4" fontId="13" fillId="0" borderId="63" xfId="2" applyNumberFormat="1" applyFont="1" applyFill="1" applyBorder="1" applyAlignment="1">
      <alignment vertical="top"/>
    </xf>
    <xf numFmtId="0" fontId="13" fillId="0" borderId="66" xfId="2" applyFont="1" applyFill="1" applyBorder="1" applyAlignment="1">
      <alignment vertical="top"/>
    </xf>
    <xf numFmtId="4" fontId="13" fillId="0" borderId="66" xfId="2" applyNumberFormat="1" applyFont="1" applyFill="1" applyBorder="1" applyAlignment="1">
      <alignment vertical="top"/>
    </xf>
    <xf numFmtId="0" fontId="13" fillId="0" borderId="65" xfId="2" applyFont="1" applyFill="1" applyBorder="1" applyAlignment="1">
      <alignment vertical="top"/>
    </xf>
    <xf numFmtId="0" fontId="23" fillId="0" borderId="27" xfId="2" applyFont="1" applyFill="1" applyBorder="1" applyAlignment="1">
      <alignment vertical="top"/>
    </xf>
    <xf numFmtId="3" fontId="13" fillId="0" borderId="49" xfId="2" applyNumberFormat="1" applyFont="1" applyFill="1" applyBorder="1" applyAlignment="1">
      <alignment vertical="top"/>
    </xf>
    <xf numFmtId="0" fontId="13" fillId="0" borderId="0" xfId="2" applyFont="1" applyFill="1" applyBorder="1" applyAlignment="1">
      <alignment horizontal="center" vertical="top"/>
    </xf>
    <xf numFmtId="0" fontId="13" fillId="0" borderId="0" xfId="2" applyFont="1" applyFill="1" applyBorder="1" applyAlignment="1">
      <alignment vertical="top" wrapText="1"/>
    </xf>
    <xf numFmtId="49" fontId="13" fillId="0" borderId="0" xfId="2" applyNumberFormat="1" applyFont="1" applyFill="1" applyBorder="1" applyAlignment="1">
      <alignment horizontal="center" vertical="top" shrinkToFit="1"/>
    </xf>
    <xf numFmtId="166" fontId="13" fillId="0" borderId="65" xfId="2" applyNumberFormat="1" applyFont="1" applyFill="1" applyBorder="1" applyAlignment="1">
      <alignment vertical="top" wrapText="1"/>
    </xf>
    <xf numFmtId="166" fontId="13" fillId="0" borderId="11" xfId="2" applyNumberFormat="1" applyFont="1" applyFill="1" applyBorder="1" applyAlignment="1">
      <alignment vertical="top" wrapText="1"/>
    </xf>
    <xf numFmtId="166" fontId="13" fillId="0" borderId="27" xfId="2" applyNumberFormat="1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/>
    </xf>
    <xf numFmtId="0" fontId="24" fillId="0" borderId="10" xfId="2" applyFont="1" applyFill="1" applyBorder="1" applyAlignment="1">
      <alignment vertical="top" wrapText="1"/>
    </xf>
    <xf numFmtId="49" fontId="27" fillId="0" borderId="10" xfId="2" applyNumberFormat="1" applyFont="1" applyFill="1" applyBorder="1" applyAlignment="1">
      <alignment horizontal="center" vertical="top" shrinkToFit="1"/>
    </xf>
    <xf numFmtId="4" fontId="27" fillId="0" borderId="10" xfId="2" applyNumberFormat="1" applyFont="1" applyFill="1" applyBorder="1" applyAlignment="1">
      <alignment horizontal="right" vertical="top"/>
    </xf>
    <xf numFmtId="0" fontId="29" fillId="0" borderId="0" xfId="0" applyFont="1"/>
    <xf numFmtId="0" fontId="13" fillId="0" borderId="0" xfId="2" applyFont="1" applyFill="1" applyAlignment="1">
      <alignment horizontal="center" vertical="top"/>
    </xf>
    <xf numFmtId="49" fontId="13" fillId="0" borderId="10" xfId="2" applyNumberFormat="1" applyFont="1" applyFill="1" applyBorder="1" applyAlignment="1">
      <alignment horizontal="center" vertical="top"/>
    </xf>
    <xf numFmtId="49" fontId="24" fillId="0" borderId="10" xfId="2" applyNumberFormat="1" applyFont="1" applyFill="1" applyBorder="1" applyAlignment="1">
      <alignment horizontal="center" vertical="top"/>
    </xf>
    <xf numFmtId="49" fontId="24" fillId="0" borderId="63" xfId="2" applyNumberFormat="1" applyFont="1" applyFill="1" applyBorder="1" applyAlignment="1">
      <alignment horizontal="center" vertical="top"/>
    </xf>
    <xf numFmtId="49" fontId="13" fillId="0" borderId="63" xfId="2" applyNumberFormat="1" applyFont="1" applyFill="1" applyBorder="1" applyAlignment="1">
      <alignment horizontal="center" vertical="top"/>
    </xf>
    <xf numFmtId="49" fontId="13" fillId="0" borderId="5" xfId="2" applyNumberFormat="1" applyFont="1" applyFill="1" applyBorder="1" applyAlignment="1">
      <alignment horizontal="center" vertical="top"/>
    </xf>
    <xf numFmtId="0" fontId="13" fillId="0" borderId="53" xfId="2" applyFont="1" applyFill="1" applyBorder="1" applyAlignment="1">
      <alignment vertical="top" wrapText="1"/>
    </xf>
    <xf numFmtId="4" fontId="13" fillId="0" borderId="53" xfId="2" applyNumberFormat="1" applyFont="1" applyFill="1" applyBorder="1" applyAlignment="1">
      <alignment vertical="top" wrapText="1"/>
    </xf>
    <xf numFmtId="3" fontId="13" fillId="0" borderId="53" xfId="2" applyNumberFormat="1" applyFont="1" applyFill="1" applyBorder="1" applyAlignment="1">
      <alignment vertical="top" wrapText="1"/>
    </xf>
    <xf numFmtId="3" fontId="13" fillId="0" borderId="53" xfId="2" applyNumberFormat="1" applyFont="1" applyFill="1" applyBorder="1" applyAlignment="1">
      <alignment horizontal="right" vertical="top" wrapText="1"/>
    </xf>
    <xf numFmtId="3" fontId="13" fillId="0" borderId="70" xfId="2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30" fillId="0" borderId="0" xfId="0" applyFont="1" applyBorder="1"/>
    <xf numFmtId="0" fontId="2" fillId="0" borderId="0" xfId="0" applyFont="1"/>
    <xf numFmtId="0" fontId="32" fillId="0" borderId="0" xfId="0" applyFont="1"/>
    <xf numFmtId="0" fontId="33" fillId="0" borderId="0" xfId="0" applyFont="1" applyAlignment="1">
      <alignment vertical="center"/>
    </xf>
    <xf numFmtId="3" fontId="4" fillId="0" borderId="13" xfId="0" applyNumberFormat="1" applyFont="1" applyBorder="1"/>
    <xf numFmtId="3" fontId="5" fillId="2" borderId="44" xfId="0" applyNumberFormat="1" applyFont="1" applyFill="1" applyBorder="1"/>
    <xf numFmtId="1" fontId="6" fillId="0" borderId="12" xfId="0" applyNumberFormat="1" applyFont="1" applyBorder="1"/>
    <xf numFmtId="166" fontId="13" fillId="0" borderId="66" xfId="2" applyNumberFormat="1" applyFont="1" applyFill="1" applyBorder="1" applyAlignment="1">
      <alignment vertical="top"/>
    </xf>
    <xf numFmtId="166" fontId="23" fillId="0" borderId="66" xfId="2" applyNumberFormat="1" applyFont="1" applyFill="1" applyBorder="1" applyAlignment="1">
      <alignment vertical="top" wrapText="1"/>
    </xf>
    <xf numFmtId="166" fontId="13" fillId="0" borderId="10" xfId="2" applyNumberFormat="1" applyFont="1" applyFill="1" applyBorder="1" applyAlignment="1">
      <alignment vertical="top"/>
    </xf>
    <xf numFmtId="166" fontId="23" fillId="0" borderId="10" xfId="2" applyNumberFormat="1" applyFont="1" applyFill="1" applyBorder="1" applyAlignment="1">
      <alignment vertical="top" wrapText="1"/>
    </xf>
    <xf numFmtId="166" fontId="13" fillId="0" borderId="10" xfId="2" applyNumberFormat="1" applyFont="1" applyFill="1" applyBorder="1" applyAlignment="1">
      <alignment vertical="top" wrapText="1"/>
    </xf>
    <xf numFmtId="166" fontId="27" fillId="0" borderId="10" xfId="2" applyNumberFormat="1" applyFont="1" applyFill="1" applyBorder="1" applyAlignment="1">
      <alignment vertical="top"/>
    </xf>
    <xf numFmtId="166" fontId="27" fillId="0" borderId="10" xfId="2" applyNumberFormat="1" applyFont="1" applyFill="1" applyBorder="1" applyAlignment="1">
      <alignment vertical="top" wrapText="1"/>
    </xf>
    <xf numFmtId="166" fontId="13" fillId="0" borderId="63" xfId="2" applyNumberFormat="1" applyFont="1" applyFill="1" applyBorder="1" applyAlignment="1">
      <alignment vertical="top"/>
    </xf>
    <xf numFmtId="166" fontId="23" fillId="0" borderId="69" xfId="2" applyNumberFormat="1" applyFont="1" applyFill="1" applyBorder="1" applyAlignment="1">
      <alignment vertical="top" wrapText="1"/>
    </xf>
    <xf numFmtId="166" fontId="13" fillId="0" borderId="68" xfId="2" applyNumberFormat="1" applyFont="1" applyFill="1" applyBorder="1" applyAlignment="1">
      <alignment vertical="top" wrapText="1"/>
    </xf>
    <xf numFmtId="166" fontId="13" fillId="0" borderId="67" xfId="2" applyNumberFormat="1" applyFont="1" applyFill="1" applyBorder="1" applyAlignment="1">
      <alignment vertical="top"/>
    </xf>
    <xf numFmtId="3" fontId="13" fillId="0" borderId="0" xfId="2" applyNumberFormat="1" applyFont="1" applyFill="1" applyBorder="1" applyAlignment="1">
      <alignment horizontal="center" vertical="top"/>
    </xf>
    <xf numFmtId="0" fontId="13" fillId="0" borderId="0" xfId="2" applyFont="1" applyFill="1" applyBorder="1" applyAlignment="1">
      <alignment horizontal="right" vertical="top"/>
    </xf>
    <xf numFmtId="3" fontId="13" fillId="0" borderId="0" xfId="2" applyNumberFormat="1" applyFont="1" applyFill="1" applyBorder="1" applyAlignment="1">
      <alignment horizontal="right" vertical="top"/>
    </xf>
    <xf numFmtId="168" fontId="13" fillId="0" borderId="10" xfId="0" applyNumberFormat="1" applyFont="1" applyFill="1" applyBorder="1" applyAlignment="1">
      <alignment horizontal="right" vertical="top"/>
    </xf>
    <xf numFmtId="168" fontId="27" fillId="0" borderId="10" xfId="0" applyNumberFormat="1" applyFont="1" applyFill="1" applyBorder="1" applyAlignment="1">
      <alignment horizontal="right" vertical="top"/>
    </xf>
    <xf numFmtId="0" fontId="23" fillId="0" borderId="10" xfId="2" applyFont="1" applyFill="1" applyBorder="1" applyAlignment="1">
      <alignment horizontal="right" vertical="top"/>
    </xf>
    <xf numFmtId="2" fontId="13" fillId="0" borderId="10" xfId="0" applyNumberFormat="1" applyFont="1" applyFill="1" applyBorder="1" applyAlignment="1">
      <alignment horizontal="right" vertical="top"/>
    </xf>
    <xf numFmtId="2" fontId="23" fillId="0" borderId="10" xfId="2" applyNumberFormat="1" applyFont="1" applyFill="1" applyBorder="1" applyAlignment="1">
      <alignment horizontal="right" vertical="top"/>
    </xf>
    <xf numFmtId="166" fontId="13" fillId="0" borderId="65" xfId="2" applyNumberFormat="1" applyFont="1" applyFill="1" applyBorder="1" applyAlignment="1">
      <alignment horizontal="right" vertical="top"/>
    </xf>
    <xf numFmtId="166" fontId="13" fillId="0" borderId="11" xfId="2" applyNumberFormat="1" applyFont="1" applyFill="1" applyBorder="1" applyAlignment="1">
      <alignment horizontal="right" vertical="top"/>
    </xf>
    <xf numFmtId="166" fontId="27" fillId="0" borderId="11" xfId="2" applyNumberFormat="1" applyFont="1" applyFill="1" applyBorder="1" applyAlignment="1">
      <alignment horizontal="right" vertical="top"/>
    </xf>
    <xf numFmtId="166" fontId="13" fillId="0" borderId="68" xfId="2" applyNumberFormat="1" applyFont="1" applyFill="1" applyBorder="1" applyAlignment="1">
      <alignment horizontal="right" vertical="top"/>
    </xf>
    <xf numFmtId="166" fontId="13" fillId="0" borderId="27" xfId="2" applyNumberFormat="1" applyFont="1" applyFill="1" applyBorder="1" applyAlignment="1">
      <alignment horizontal="right" vertical="top"/>
    </xf>
    <xf numFmtId="0" fontId="13" fillId="0" borderId="0" xfId="2" applyFont="1" applyFill="1" applyBorder="1" applyAlignment="1">
      <alignment horizontal="left" vertical="top" shrinkToFit="1"/>
    </xf>
    <xf numFmtId="3" fontId="23" fillId="0" borderId="0" xfId="2" applyNumberFormat="1" applyFont="1" applyFill="1" applyBorder="1" applyAlignment="1">
      <alignment vertical="top"/>
    </xf>
    <xf numFmtId="168" fontId="13" fillId="0" borderId="63" xfId="0" applyNumberFormat="1" applyFont="1" applyFill="1" applyBorder="1" applyAlignment="1">
      <alignment horizontal="right" vertical="top"/>
    </xf>
    <xf numFmtId="168" fontId="13" fillId="0" borderId="5" xfId="0" applyNumberFormat="1" applyFont="1" applyFill="1" applyBorder="1" applyAlignment="1">
      <alignment horizontal="right" vertical="top"/>
    </xf>
    <xf numFmtId="168" fontId="13" fillId="0" borderId="45" xfId="0" applyNumberFormat="1" applyFont="1" applyFill="1" applyBorder="1" applyAlignment="1">
      <alignment horizontal="right" vertical="top"/>
    </xf>
    <xf numFmtId="0" fontId="23" fillId="0" borderId="64" xfId="2" applyNumberFormat="1" applyFont="1" applyFill="1" applyBorder="1" applyAlignment="1">
      <alignment horizontal="center" vertical="top"/>
    </xf>
    <xf numFmtId="0" fontId="23" fillId="0" borderId="71" xfId="2" applyNumberFormat="1" applyFont="1" applyFill="1" applyBorder="1" applyAlignment="1">
      <alignment horizontal="center" vertical="top"/>
    </xf>
    <xf numFmtId="0" fontId="23" fillId="0" borderId="72" xfId="2" applyFont="1" applyFill="1" applyBorder="1" applyAlignment="1">
      <alignment vertical="top"/>
    </xf>
    <xf numFmtId="0" fontId="13" fillId="0" borderId="72" xfId="2" applyFont="1" applyFill="1" applyBorder="1" applyAlignment="1">
      <alignment horizontal="center" vertical="top"/>
    </xf>
    <xf numFmtId="4" fontId="13" fillId="0" borderId="72" xfId="2" applyNumberFormat="1" applyFont="1" applyFill="1" applyBorder="1" applyAlignment="1">
      <alignment horizontal="right" vertical="top"/>
    </xf>
    <xf numFmtId="3" fontId="13" fillId="0" borderId="72" xfId="2" applyNumberFormat="1" applyFont="1" applyFill="1" applyBorder="1" applyAlignment="1">
      <alignment vertical="top"/>
    </xf>
    <xf numFmtId="168" fontId="13" fillId="0" borderId="72" xfId="0" applyNumberFormat="1" applyFont="1" applyFill="1" applyBorder="1" applyAlignment="1">
      <alignment horizontal="right" vertical="top"/>
    </xf>
    <xf numFmtId="49" fontId="13" fillId="0" borderId="64" xfId="2" applyNumberFormat="1" applyFont="1" applyFill="1" applyBorder="1" applyAlignment="1">
      <alignment horizontal="center" vertical="top"/>
    </xf>
    <xf numFmtId="0" fontId="23" fillId="0" borderId="63" xfId="2" applyFont="1" applyFill="1" applyBorder="1" applyAlignment="1">
      <alignment horizontal="right" vertical="top"/>
    </xf>
    <xf numFmtId="49" fontId="23" fillId="0" borderId="64" xfId="2" applyNumberFormat="1" applyFont="1" applyFill="1" applyBorder="1" applyAlignment="1">
      <alignment horizontal="center" vertical="top"/>
    </xf>
    <xf numFmtId="2" fontId="13" fillId="0" borderId="5" xfId="0" applyNumberFormat="1" applyFont="1" applyFill="1" applyBorder="1" applyAlignment="1">
      <alignment horizontal="right" vertical="top"/>
    </xf>
    <xf numFmtId="2" fontId="13" fillId="0" borderId="45" xfId="0" applyNumberFormat="1" applyFont="1" applyFill="1" applyBorder="1" applyAlignment="1">
      <alignment horizontal="right" vertical="top"/>
    </xf>
    <xf numFmtId="2" fontId="13" fillId="0" borderId="63" xfId="0" applyNumberFormat="1" applyFont="1" applyFill="1" applyBorder="1" applyAlignment="1">
      <alignment horizontal="right" vertical="top"/>
    </xf>
    <xf numFmtId="0" fontId="13" fillId="0" borderId="45" xfId="2" applyFont="1" applyFill="1" applyBorder="1" applyAlignment="1">
      <alignment vertical="top" wrapText="1"/>
    </xf>
    <xf numFmtId="0" fontId="23" fillId="0" borderId="66" xfId="2" applyFont="1" applyFill="1" applyBorder="1" applyAlignment="1">
      <alignment vertical="top" wrapText="1"/>
    </xf>
    <xf numFmtId="49" fontId="13" fillId="0" borderId="66" xfId="2" applyNumberFormat="1" applyFont="1" applyFill="1" applyBorder="1" applyAlignment="1">
      <alignment horizontal="center" vertical="top" shrinkToFit="1"/>
    </xf>
    <xf numFmtId="0" fontId="23" fillId="0" borderId="67" xfId="2" applyFont="1" applyFill="1" applyBorder="1" applyAlignment="1">
      <alignment vertical="top" wrapText="1"/>
    </xf>
    <xf numFmtId="49" fontId="13" fillId="0" borderId="67" xfId="2" applyNumberFormat="1" applyFont="1" applyFill="1" applyBorder="1" applyAlignment="1">
      <alignment horizontal="center" vertical="top" shrinkToFit="1"/>
    </xf>
    <xf numFmtId="49" fontId="13" fillId="0" borderId="66" xfId="2" applyNumberFormat="1" applyFont="1" applyFill="1" applyBorder="1" applyAlignment="1">
      <alignment horizontal="center" vertical="top"/>
    </xf>
    <xf numFmtId="49" fontId="13" fillId="0" borderId="67" xfId="2" applyNumberFormat="1" applyFont="1" applyFill="1" applyBorder="1" applyAlignment="1">
      <alignment horizontal="center" vertical="top"/>
    </xf>
    <xf numFmtId="49" fontId="13" fillId="0" borderId="0" xfId="2" applyNumberFormat="1" applyFont="1" applyFill="1" applyBorder="1" applyAlignment="1">
      <alignment horizontal="center" vertical="top"/>
    </xf>
    <xf numFmtId="168" fontId="13" fillId="0" borderId="0" xfId="0" applyNumberFormat="1" applyFont="1" applyFill="1" applyBorder="1" applyAlignment="1">
      <alignment horizontal="center" vertical="top"/>
    </xf>
    <xf numFmtId="168" fontId="13" fillId="0" borderId="0" xfId="0" applyNumberFormat="1" applyFont="1" applyFill="1" applyBorder="1" applyAlignment="1">
      <alignment horizontal="center" vertical="top" wrapText="1"/>
    </xf>
    <xf numFmtId="0" fontId="13" fillId="0" borderId="64" xfId="2" applyFont="1" applyFill="1" applyBorder="1" applyAlignment="1">
      <alignment horizontal="center" vertical="top" wrapText="1"/>
    </xf>
    <xf numFmtId="0" fontId="13" fillId="0" borderId="45" xfId="2" applyFont="1" applyFill="1" applyBorder="1" applyAlignment="1">
      <alignment horizontal="left" vertical="top" wrapText="1"/>
    </xf>
    <xf numFmtId="0" fontId="13" fillId="0" borderId="45" xfId="2" applyFont="1" applyFill="1" applyBorder="1" applyAlignment="1">
      <alignment horizontal="center" vertical="top" wrapText="1"/>
    </xf>
    <xf numFmtId="4" fontId="13" fillId="0" borderId="45" xfId="2" applyNumberFormat="1" applyFont="1" applyFill="1" applyBorder="1" applyAlignment="1">
      <alignment horizontal="center" vertical="top" wrapText="1"/>
    </xf>
    <xf numFmtId="3" fontId="13" fillId="0" borderId="45" xfId="2" applyNumberFormat="1" applyFont="1" applyFill="1" applyBorder="1" applyAlignment="1">
      <alignment horizontal="center" vertical="top" wrapText="1"/>
    </xf>
    <xf numFmtId="0" fontId="13" fillId="0" borderId="46" xfId="2" applyFont="1" applyFill="1" applyBorder="1" applyAlignment="1">
      <alignment vertical="top" wrapText="1"/>
    </xf>
    <xf numFmtId="49" fontId="23" fillId="0" borderId="71" xfId="2" applyNumberFormat="1" applyFont="1" applyFill="1" applyBorder="1" applyAlignment="1">
      <alignment horizontal="center" vertical="top"/>
    </xf>
    <xf numFmtId="49" fontId="23" fillId="0" borderId="20" xfId="2" applyNumberFormat="1" applyFont="1" applyFill="1" applyBorder="1" applyAlignment="1">
      <alignment horizontal="center" vertical="top"/>
    </xf>
    <xf numFmtId="0" fontId="23" fillId="0" borderId="21" xfId="2" applyFont="1" applyFill="1" applyBorder="1" applyAlignment="1">
      <alignment vertical="top"/>
    </xf>
    <xf numFmtId="0" fontId="13" fillId="0" borderId="21" xfId="2" applyFont="1" applyFill="1" applyBorder="1" applyAlignment="1">
      <alignment horizontal="center" vertical="top"/>
    </xf>
    <xf numFmtId="4" fontId="13" fillId="0" borderId="21" xfId="2" applyNumberFormat="1" applyFont="1" applyFill="1" applyBorder="1" applyAlignment="1">
      <alignment horizontal="right" vertical="top"/>
    </xf>
    <xf numFmtId="3" fontId="13" fillId="0" borderId="22" xfId="2" applyNumberFormat="1" applyFont="1" applyFill="1" applyBorder="1" applyAlignment="1">
      <alignment vertical="top"/>
    </xf>
    <xf numFmtId="0" fontId="13" fillId="0" borderId="64" xfId="2" applyFont="1" applyFill="1" applyBorder="1" applyAlignment="1">
      <alignment vertical="top" wrapText="1"/>
    </xf>
    <xf numFmtId="3" fontId="13" fillId="0" borderId="44" xfId="2" applyNumberFormat="1" applyFont="1" applyFill="1" applyBorder="1" applyAlignment="1">
      <alignment vertical="top"/>
    </xf>
    <xf numFmtId="0" fontId="26" fillId="0" borderId="45" xfId="0" applyFont="1" applyBorder="1" applyAlignment="1">
      <alignment horizontal="right"/>
    </xf>
    <xf numFmtId="0" fontId="26" fillId="0" borderId="46" xfId="0" applyFont="1" applyBorder="1" applyAlignment="1">
      <alignment horizontal="right"/>
    </xf>
    <xf numFmtId="0" fontId="26" fillId="0" borderId="25" xfId="0" applyFont="1" applyBorder="1"/>
    <xf numFmtId="165" fontId="26" fillId="0" borderId="5" xfId="0" applyNumberFormat="1" applyFont="1" applyBorder="1"/>
    <xf numFmtId="0" fontId="26" fillId="0" borderId="6" xfId="0" applyFont="1" applyBorder="1"/>
    <xf numFmtId="0" fontId="26" fillId="0" borderId="14" xfId="0" applyFont="1" applyBorder="1"/>
    <xf numFmtId="165" fontId="26" fillId="0" borderId="10" xfId="0" applyNumberFormat="1" applyFont="1" applyBorder="1"/>
    <xf numFmtId="0" fontId="26" fillId="0" borderId="11" xfId="0" applyFont="1" applyBorder="1"/>
    <xf numFmtId="0" fontId="26" fillId="0" borderId="75" xfId="0" applyFont="1" applyBorder="1"/>
    <xf numFmtId="0" fontId="26" fillId="0" borderId="67" xfId="0" applyFont="1" applyBorder="1"/>
    <xf numFmtId="0" fontId="26" fillId="0" borderId="27" xfId="0" applyFont="1" applyBorder="1"/>
    <xf numFmtId="0" fontId="34" fillId="0" borderId="9" xfId="0" applyFont="1" applyFill="1" applyBorder="1" applyAlignment="1">
      <alignment horizontal="right"/>
    </xf>
    <xf numFmtId="4" fontId="13" fillId="0" borderId="2" xfId="2" applyNumberFormat="1" applyFont="1" applyFill="1" applyBorder="1" applyAlignment="1">
      <alignment horizontal="right" vertical="top"/>
    </xf>
    <xf numFmtId="4" fontId="13" fillId="0" borderId="4" xfId="2" applyNumberFormat="1" applyFont="1" applyFill="1" applyBorder="1" applyAlignment="1">
      <alignment horizontal="right" vertical="top"/>
    </xf>
    <xf numFmtId="0" fontId="34" fillId="0" borderId="4" xfId="0" applyFont="1" applyFill="1" applyBorder="1" applyAlignment="1">
      <alignment horizontal="right"/>
    </xf>
    <xf numFmtId="0" fontId="34" fillId="0" borderId="29" xfId="0" applyFont="1" applyFill="1" applyBorder="1" applyAlignment="1">
      <alignment horizontal="right"/>
    </xf>
    <xf numFmtId="3" fontId="13" fillId="0" borderId="44" xfId="2" applyNumberFormat="1" applyFont="1" applyFill="1" applyBorder="1" applyAlignment="1">
      <alignment vertical="top" wrapText="1"/>
    </xf>
    <xf numFmtId="0" fontId="2" fillId="0" borderId="0" xfId="0" applyFont="1" applyBorder="1"/>
    <xf numFmtId="3" fontId="13" fillId="0" borderId="46" xfId="2" applyNumberFormat="1" applyFont="1" applyFill="1" applyBorder="1" applyAlignment="1">
      <alignment vertical="top"/>
    </xf>
    <xf numFmtId="3" fontId="23" fillId="0" borderId="3" xfId="2" applyNumberFormat="1" applyFont="1" applyFill="1" applyBorder="1" applyAlignment="1">
      <alignment vertical="top"/>
    </xf>
    <xf numFmtId="3" fontId="23" fillId="0" borderId="66" xfId="2" applyNumberFormat="1" applyFont="1" applyFill="1" applyBorder="1" applyAlignment="1">
      <alignment vertical="top"/>
    </xf>
    <xf numFmtId="3" fontId="23" fillId="0" borderId="65" xfId="2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7" xfId="0" applyFont="1" applyBorder="1"/>
    <xf numFmtId="0" fontId="2" fillId="0" borderId="9" xfId="0" applyFont="1" applyBorder="1"/>
    <xf numFmtId="3" fontId="23" fillId="0" borderId="8" xfId="2" applyNumberFormat="1" applyFont="1" applyFill="1" applyBorder="1" applyAlignment="1">
      <alignment vertical="top"/>
    </xf>
    <xf numFmtId="0" fontId="2" fillId="0" borderId="34" xfId="0" applyFont="1" applyBorder="1"/>
    <xf numFmtId="0" fontId="2" fillId="0" borderId="0" xfId="0" applyFont="1" applyAlignment="1">
      <alignment horizontal="center"/>
    </xf>
    <xf numFmtId="3" fontId="23" fillId="0" borderId="39" xfId="2" applyNumberFormat="1" applyFont="1" applyFill="1" applyBorder="1" applyAlignment="1">
      <alignment vertical="top"/>
    </xf>
    <xf numFmtId="0" fontId="2" fillId="0" borderId="28" xfId="0" applyFont="1" applyBorder="1"/>
    <xf numFmtId="0" fontId="2" fillId="0" borderId="29" xfId="0" applyFont="1" applyBorder="1"/>
    <xf numFmtId="3" fontId="23" fillId="0" borderId="30" xfId="2" applyNumberFormat="1" applyFont="1" applyFill="1" applyBorder="1" applyAlignment="1">
      <alignment vertical="top"/>
    </xf>
    <xf numFmtId="3" fontId="23" fillId="0" borderId="67" xfId="2" applyNumberFormat="1" applyFont="1" applyFill="1" applyBorder="1" applyAlignment="1">
      <alignment vertical="top"/>
    </xf>
    <xf numFmtId="0" fontId="2" fillId="0" borderId="73" xfId="0" applyFont="1" applyBorder="1"/>
    <xf numFmtId="0" fontId="2" fillId="0" borderId="0" xfId="0" applyFont="1" applyFill="1"/>
    <xf numFmtId="0" fontId="26" fillId="0" borderId="74" xfId="0" applyFont="1" applyBorder="1"/>
    <xf numFmtId="165" fontId="26" fillId="0" borderId="63" xfId="0" applyNumberFormat="1" applyFont="1" applyBorder="1"/>
    <xf numFmtId="0" fontId="26" fillId="0" borderId="68" xfId="0" applyFont="1" applyBorder="1"/>
    <xf numFmtId="0" fontId="26" fillId="0" borderId="47" xfId="0" applyFont="1" applyBorder="1"/>
    <xf numFmtId="165" fontId="26" fillId="0" borderId="66" xfId="0" applyNumberFormat="1" applyFont="1" applyBorder="1"/>
    <xf numFmtId="0" fontId="26" fillId="0" borderId="65" xfId="0" applyFont="1" applyBorder="1"/>
    <xf numFmtId="3" fontId="13" fillId="0" borderId="40" xfId="2" applyNumberFormat="1" applyFont="1" applyFill="1" applyBorder="1" applyAlignment="1">
      <alignment vertical="top"/>
    </xf>
    <xf numFmtId="0" fontId="13" fillId="0" borderId="76" xfId="2" applyFont="1" applyFill="1" applyBorder="1" applyAlignment="1">
      <alignment horizontal="center" vertical="top"/>
    </xf>
    <xf numFmtId="168" fontId="25" fillId="0" borderId="40" xfId="3" applyFont="1" applyFill="1" applyBorder="1" applyAlignment="1">
      <alignment horizontal="right" vertical="top"/>
    </xf>
    <xf numFmtId="168" fontId="25" fillId="0" borderId="42" xfId="3" applyFont="1" applyFill="1" applyBorder="1" applyAlignment="1">
      <alignment horizontal="right" vertical="top"/>
    </xf>
    <xf numFmtId="0" fontId="13" fillId="0" borderId="77" xfId="2" applyFont="1" applyFill="1" applyBorder="1" applyAlignment="1">
      <alignment horizontal="center" vertical="top"/>
    </xf>
    <xf numFmtId="168" fontId="25" fillId="0" borderId="43" xfId="3" applyFont="1" applyFill="1" applyBorder="1" applyAlignment="1">
      <alignment horizontal="right" vertical="top"/>
    </xf>
    <xf numFmtId="168" fontId="25" fillId="0" borderId="60" xfId="3" applyFont="1" applyFill="1" applyBorder="1" applyAlignment="1">
      <alignment horizontal="right" vertical="top"/>
    </xf>
    <xf numFmtId="0" fontId="13" fillId="0" borderId="0" xfId="2" applyFont="1" applyFill="1" applyBorder="1" applyAlignment="1">
      <alignment horizontal="right" vertical="top" wrapText="1"/>
    </xf>
    <xf numFmtId="3" fontId="13" fillId="0" borderId="73" xfId="2" applyNumberFormat="1" applyFont="1" applyFill="1" applyBorder="1" applyAlignment="1">
      <alignment vertical="top"/>
    </xf>
    <xf numFmtId="0" fontId="2" fillId="0" borderId="0" xfId="0" applyFont="1" applyFill="1" applyBorder="1"/>
    <xf numFmtId="0" fontId="13" fillId="0" borderId="5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35" fillId="0" borderId="10" xfId="0" applyFont="1" applyFill="1" applyBorder="1"/>
    <xf numFmtId="0" fontId="13" fillId="0" borderId="5" xfId="0" applyFont="1" applyFill="1" applyBorder="1"/>
    <xf numFmtId="0" fontId="23" fillId="0" borderId="10" xfId="0" applyFont="1" applyFill="1" applyBorder="1" applyAlignment="1"/>
    <xf numFmtId="0" fontId="13" fillId="0" borderId="0" xfId="0" applyFont="1" applyFill="1" applyAlignment="1">
      <alignment horizontal="left" vertical="top"/>
    </xf>
    <xf numFmtId="0" fontId="13" fillId="0" borderId="10" xfId="0" applyFont="1" applyFill="1" applyBorder="1" applyAlignment="1">
      <alignment horizontal="center" vertical="top"/>
    </xf>
    <xf numFmtId="4" fontId="13" fillId="0" borderId="5" xfId="2" applyNumberFormat="1" applyFont="1" applyFill="1" applyBorder="1" applyAlignment="1">
      <alignment vertical="top"/>
    </xf>
    <xf numFmtId="4" fontId="13" fillId="0" borderId="45" xfId="2" applyNumberFormat="1" applyFont="1" applyFill="1" applyBorder="1" applyAlignment="1">
      <alignment horizontal="right" vertical="top" wrapText="1"/>
    </xf>
    <xf numFmtId="3" fontId="13" fillId="0" borderId="45" xfId="2" applyNumberFormat="1" applyFont="1" applyFill="1" applyBorder="1" applyAlignment="1">
      <alignment horizontal="right" vertical="top" wrapText="1"/>
    </xf>
    <xf numFmtId="0" fontId="13" fillId="0" borderId="20" xfId="2" applyFont="1" applyFill="1" applyBorder="1" applyAlignment="1">
      <alignment horizontal="center" vertical="top"/>
    </xf>
    <xf numFmtId="0" fontId="13" fillId="0" borderId="21" xfId="2" applyFont="1" applyFill="1" applyBorder="1" applyAlignment="1">
      <alignment vertical="top"/>
    </xf>
    <xf numFmtId="4" fontId="13" fillId="0" borderId="21" xfId="2" applyNumberFormat="1" applyFont="1" applyFill="1" applyBorder="1" applyAlignment="1">
      <alignment vertical="top"/>
    </xf>
    <xf numFmtId="3" fontId="23" fillId="0" borderId="45" xfId="2" applyNumberFormat="1" applyFont="1" applyFill="1" applyBorder="1" applyAlignment="1">
      <alignment vertical="top"/>
    </xf>
    <xf numFmtId="0" fontId="13" fillId="0" borderId="21" xfId="2" applyFont="1" applyFill="1" applyBorder="1" applyAlignment="1">
      <alignment horizontal="right" vertical="top"/>
    </xf>
    <xf numFmtId="3" fontId="23" fillId="0" borderId="46" xfId="2" applyNumberFormat="1" applyFont="1" applyFill="1" applyBorder="1" applyAlignment="1">
      <alignment vertical="top"/>
    </xf>
    <xf numFmtId="171" fontId="13" fillId="0" borderId="10" xfId="2" applyNumberFormat="1" applyFont="1" applyFill="1" applyBorder="1" applyAlignment="1">
      <alignment horizontal="right" vertical="top"/>
    </xf>
    <xf numFmtId="172" fontId="13" fillId="0" borderId="10" xfId="2" applyNumberFormat="1" applyFont="1" applyFill="1" applyBorder="1" applyAlignment="1">
      <alignment horizontal="right" vertical="top"/>
    </xf>
    <xf numFmtId="4" fontId="13" fillId="0" borderId="0" xfId="2" applyNumberFormat="1" applyFont="1" applyFill="1" applyBorder="1" applyAlignment="1">
      <alignment horizontal="center" vertical="top"/>
    </xf>
    <xf numFmtId="0" fontId="23" fillId="0" borderId="0" xfId="2" applyFont="1" applyFill="1" applyBorder="1" applyAlignment="1">
      <alignment horizontal="left" vertical="top"/>
    </xf>
    <xf numFmtId="168" fontId="13" fillId="0" borderId="0" xfId="0" applyNumberFormat="1" applyFont="1" applyFill="1" applyBorder="1" applyAlignment="1">
      <alignment horizontal="right" vertical="top"/>
    </xf>
    <xf numFmtId="0" fontId="36" fillId="0" borderId="10" xfId="2" applyFont="1" applyFill="1" applyBorder="1" applyAlignment="1">
      <alignment vertical="top" wrapText="1"/>
    </xf>
    <xf numFmtId="49" fontId="28" fillId="0" borderId="10" xfId="2" applyNumberFormat="1" applyFont="1" applyFill="1" applyBorder="1" applyAlignment="1">
      <alignment horizontal="center" vertical="top" shrinkToFit="1"/>
    </xf>
    <xf numFmtId="4" fontId="28" fillId="0" borderId="10" xfId="2" applyNumberFormat="1" applyFont="1" applyFill="1" applyBorder="1" applyAlignment="1">
      <alignment horizontal="right" vertical="top"/>
    </xf>
    <xf numFmtId="166" fontId="28" fillId="0" borderId="10" xfId="2" applyNumberFormat="1" applyFont="1" applyFill="1" applyBorder="1" applyAlignment="1">
      <alignment vertical="top"/>
    </xf>
    <xf numFmtId="166" fontId="28" fillId="0" borderId="10" xfId="2" applyNumberFormat="1" applyFont="1" applyFill="1" applyBorder="1" applyAlignment="1">
      <alignment vertical="top" wrapText="1"/>
    </xf>
    <xf numFmtId="166" fontId="28" fillId="0" borderId="11" xfId="2" applyNumberFormat="1" applyFont="1" applyFill="1" applyBorder="1" applyAlignment="1">
      <alignment horizontal="right" vertical="top"/>
    </xf>
    <xf numFmtId="4" fontId="23" fillId="0" borderId="5" xfId="2" applyNumberFormat="1" applyFont="1" applyFill="1" applyBorder="1" applyAlignment="1">
      <alignment vertical="top"/>
    </xf>
    <xf numFmtId="4" fontId="23" fillId="0" borderId="45" xfId="2" applyNumberFormat="1" applyFont="1" applyFill="1" applyBorder="1" applyAlignment="1">
      <alignment horizontal="right" vertical="top"/>
    </xf>
    <xf numFmtId="4" fontId="23" fillId="0" borderId="5" xfId="2" applyNumberFormat="1" applyFont="1" applyFill="1" applyBorder="1" applyAlignment="1">
      <alignment horizontal="right" vertical="top"/>
    </xf>
    <xf numFmtId="4" fontId="13" fillId="0" borderId="10" xfId="0" applyNumberFormat="1" applyFont="1" applyFill="1" applyBorder="1"/>
    <xf numFmtId="4" fontId="23" fillId="0" borderId="10" xfId="0" applyNumberFormat="1" applyFont="1" applyFill="1" applyBorder="1"/>
    <xf numFmtId="4" fontId="13" fillId="0" borderId="10" xfId="0" applyNumberFormat="1" applyFont="1" applyFill="1" applyBorder="1" applyAlignment="1">
      <alignment vertical="top"/>
    </xf>
    <xf numFmtId="4" fontId="23" fillId="0" borderId="10" xfId="0" applyNumberFormat="1" applyFont="1" applyFill="1" applyBorder="1" applyAlignment="1">
      <alignment vertical="top"/>
    </xf>
    <xf numFmtId="4" fontId="13" fillId="0" borderId="10" xfId="5" applyNumberFormat="1" applyFont="1" applyFill="1" applyBorder="1" applyAlignment="1">
      <alignment vertical="top"/>
    </xf>
    <xf numFmtId="170" fontId="13" fillId="0" borderId="0" xfId="2" applyNumberFormat="1" applyFont="1" applyFill="1" applyBorder="1" applyAlignment="1">
      <alignment horizontal="right" vertical="top"/>
    </xf>
    <xf numFmtId="0" fontId="0" fillId="0" borderId="0" xfId="0" applyFont="1"/>
    <xf numFmtId="0" fontId="27" fillId="0" borderId="33" xfId="2" applyFont="1" applyFill="1" applyBorder="1" applyAlignment="1">
      <alignment vertical="top" wrapText="1"/>
    </xf>
    <xf numFmtId="1" fontId="13" fillId="0" borderId="52" xfId="2" applyNumberFormat="1" applyFont="1" applyFill="1" applyBorder="1" applyAlignment="1">
      <alignment horizontal="center" vertical="top" wrapText="1"/>
    </xf>
    <xf numFmtId="1" fontId="23" fillId="0" borderId="47" xfId="2" applyNumberFormat="1" applyFont="1" applyFill="1" applyBorder="1" applyAlignment="1">
      <alignment horizontal="center"/>
    </xf>
    <xf numFmtId="1" fontId="23" fillId="0" borderId="14" xfId="2" applyNumberFormat="1" applyFont="1" applyFill="1" applyBorder="1" applyAlignment="1">
      <alignment horizontal="center" vertical="top"/>
    </xf>
    <xf numFmtId="1" fontId="13" fillId="0" borderId="14" xfId="2" applyNumberFormat="1" applyFont="1" applyFill="1" applyBorder="1" applyAlignment="1">
      <alignment horizontal="center" vertical="top"/>
    </xf>
    <xf numFmtId="1" fontId="27" fillId="0" borderId="14" xfId="2" applyNumberFormat="1" applyFont="1" applyFill="1" applyBorder="1" applyAlignment="1">
      <alignment horizontal="center" vertical="top"/>
    </xf>
    <xf numFmtId="1" fontId="31" fillId="0" borderId="14" xfId="2" applyNumberFormat="1" applyFont="1" applyFill="1" applyBorder="1" applyAlignment="1">
      <alignment horizontal="center" vertical="top"/>
    </xf>
    <xf numFmtId="1" fontId="23" fillId="0" borderId="74" xfId="2" applyNumberFormat="1" applyFont="1" applyFill="1" applyBorder="1" applyAlignment="1">
      <alignment horizontal="center" vertical="top"/>
    </xf>
    <xf numFmtId="1" fontId="13" fillId="0" borderId="74" xfId="2" applyNumberFormat="1" applyFont="1" applyFill="1" applyBorder="1" applyAlignment="1">
      <alignment horizontal="center" vertical="top"/>
    </xf>
    <xf numFmtId="1" fontId="13" fillId="0" borderId="47" xfId="2" applyNumberFormat="1" applyFont="1" applyFill="1" applyBorder="1" applyAlignment="1">
      <alignment horizontal="center" vertical="top"/>
    </xf>
    <xf numFmtId="1" fontId="13" fillId="0" borderId="75" xfId="2" applyNumberFormat="1" applyFont="1" applyFill="1" applyBorder="1" applyAlignment="1">
      <alignment horizontal="center" vertical="top"/>
    </xf>
    <xf numFmtId="0" fontId="13" fillId="0" borderId="0" xfId="2" applyNumberFormat="1" applyFont="1" applyFill="1" applyBorder="1" applyAlignment="1">
      <alignment horizontal="left" vertical="top" wrapText="1"/>
    </xf>
    <xf numFmtId="0" fontId="13" fillId="0" borderId="0" xfId="2" applyFont="1" applyFill="1" applyBorder="1" applyAlignment="1">
      <alignment horizontal="center" vertical="top" wrapText="1"/>
    </xf>
    <xf numFmtId="0" fontId="38" fillId="0" borderId="0" xfId="6" applyFont="1"/>
    <xf numFmtId="0" fontId="6" fillId="0" borderId="0" xfId="6" applyFont="1"/>
    <xf numFmtId="0" fontId="38" fillId="0" borderId="0" xfId="6" applyFont="1" applyBorder="1"/>
    <xf numFmtId="0" fontId="39" fillId="0" borderId="10" xfId="7" applyFont="1" applyBorder="1"/>
    <xf numFmtId="0" fontId="7" fillId="0" borderId="10" xfId="2" applyFont="1" applyFill="1" applyBorder="1" applyAlignment="1">
      <alignment horizontal="left" wrapText="1"/>
    </xf>
    <xf numFmtId="173" fontId="7" fillId="0" borderId="10" xfId="2" applyNumberFormat="1" applyFont="1" applyFill="1" applyBorder="1" applyAlignment="1">
      <alignment horizontal="left"/>
    </xf>
    <xf numFmtId="0" fontId="6" fillId="0" borderId="0" xfId="6" applyFont="1" applyBorder="1" applyAlignment="1">
      <alignment horizontal="left"/>
    </xf>
    <xf numFmtId="0" fontId="6" fillId="0" borderId="10" xfId="6" applyFont="1" applyBorder="1"/>
    <xf numFmtId="49" fontId="6" fillId="0" borderId="10" xfId="6" applyNumberFormat="1" applyFont="1" applyBorder="1" applyAlignment="1">
      <alignment horizontal="left"/>
    </xf>
    <xf numFmtId="0" fontId="6" fillId="0" borderId="0" xfId="6" applyFont="1" applyBorder="1" applyAlignment="1">
      <alignment vertical="center" wrapText="1"/>
    </xf>
    <xf numFmtId="0" fontId="6" fillId="0" borderId="0" xfId="2" applyFont="1" applyFill="1" applyBorder="1" applyAlignment="1">
      <alignment horizontal="left" wrapText="1"/>
    </xf>
    <xf numFmtId="49" fontId="6" fillId="0" borderId="0" xfId="2" applyNumberFormat="1" applyFont="1" applyFill="1" applyBorder="1" applyAlignment="1">
      <alignment horizontal="left"/>
    </xf>
    <xf numFmtId="0" fontId="41" fillId="0" borderId="0" xfId="6" applyFont="1" applyBorder="1"/>
    <xf numFmtId="49" fontId="6" fillId="0" borderId="0" xfId="6" applyNumberFormat="1" applyFont="1" applyBorder="1" applyAlignment="1">
      <alignment horizontal="left"/>
    </xf>
    <xf numFmtId="0" fontId="6" fillId="0" borderId="14" xfId="6" applyFont="1" applyBorder="1"/>
    <xf numFmtId="49" fontId="6" fillId="0" borderId="10" xfId="2" applyNumberFormat="1" applyFont="1" applyFill="1" applyBorder="1" applyAlignment="1">
      <alignment horizontal="left"/>
    </xf>
    <xf numFmtId="0" fontId="6" fillId="0" borderId="0" xfId="6" applyFont="1" applyBorder="1"/>
    <xf numFmtId="0" fontId="6" fillId="0" borderId="10" xfId="7" applyFont="1" applyBorder="1"/>
    <xf numFmtId="49" fontId="6" fillId="0" borderId="10" xfId="6" applyNumberFormat="1" applyFont="1" applyFill="1" applyBorder="1" applyAlignment="1">
      <alignment horizontal="left"/>
    </xf>
    <xf numFmtId="0" fontId="6" fillId="0" borderId="10" xfId="6" applyFont="1" applyBorder="1" applyAlignment="1">
      <alignment vertical="center" wrapText="1"/>
    </xf>
    <xf numFmtId="0" fontId="38" fillId="0" borderId="0" xfId="7" applyFont="1" applyBorder="1"/>
    <xf numFmtId="0" fontId="6" fillId="0" borderId="10" xfId="6" applyFont="1" applyBorder="1" applyAlignment="1">
      <alignment horizontal="left"/>
    </xf>
    <xf numFmtId="0" fontId="42" fillId="0" borderId="0" xfId="6" applyFont="1" applyBorder="1"/>
    <xf numFmtId="0" fontId="43" fillId="0" borderId="0" xfId="6" applyFont="1" applyBorder="1"/>
    <xf numFmtId="0" fontId="42" fillId="0" borderId="0" xfId="6" applyFont="1" applyBorder="1" applyAlignment="1">
      <alignment horizontal="left"/>
    </xf>
    <xf numFmtId="0" fontId="43" fillId="0" borderId="0" xfId="6" applyFont="1"/>
    <xf numFmtId="0" fontId="1" fillId="0" borderId="0" xfId="6"/>
    <xf numFmtId="0" fontId="39" fillId="0" borderId="10" xfId="6" applyFont="1" applyBorder="1" applyAlignment="1">
      <alignment horizontal="left" vertical="center"/>
    </xf>
    <xf numFmtId="0" fontId="39" fillId="0" borderId="10" xfId="6" applyFont="1" applyFill="1" applyBorder="1" applyAlignment="1">
      <alignment horizontal="left" vertical="center"/>
    </xf>
    <xf numFmtId="0" fontId="39" fillId="0" borderId="10" xfId="6" applyFont="1" applyBorder="1" applyAlignment="1">
      <alignment horizontal="right" vertical="center"/>
    </xf>
    <xf numFmtId="0" fontId="38" fillId="0" borderId="10" xfId="6" applyFont="1" applyBorder="1"/>
    <xf numFmtId="0" fontId="38" fillId="0" borderId="10" xfId="6" applyFont="1" applyBorder="1" applyAlignment="1">
      <alignment horizontal="right"/>
    </xf>
    <xf numFmtId="0" fontId="38" fillId="0" borderId="10" xfId="6" applyFont="1" applyBorder="1" applyAlignment="1">
      <alignment horizontal="left" vertical="center"/>
    </xf>
    <xf numFmtId="0" fontId="46" fillId="0" borderId="10" xfId="6" applyFont="1" applyBorder="1" applyAlignment="1">
      <alignment horizontal="left" vertical="center"/>
    </xf>
    <xf numFmtId="0" fontId="38" fillId="0" borderId="10" xfId="6" applyFont="1" applyBorder="1" applyAlignment="1">
      <alignment horizontal="right" vertical="center"/>
    </xf>
    <xf numFmtId="0" fontId="46" fillId="0" borderId="10" xfId="6" applyFont="1" applyBorder="1"/>
    <xf numFmtId="0" fontId="47" fillId="0" borderId="10" xfId="6" applyFont="1" applyBorder="1"/>
    <xf numFmtId="0" fontId="6" fillId="0" borderId="10" xfId="6" applyFont="1" applyBorder="1" applyAlignment="1">
      <alignment horizontal="right"/>
    </xf>
    <xf numFmtId="0" fontId="37" fillId="0" borderId="0" xfId="6" applyFont="1"/>
    <xf numFmtId="0" fontId="38" fillId="0" borderId="10" xfId="6" applyFont="1" applyBorder="1" applyAlignment="1"/>
    <xf numFmtId="0" fontId="46" fillId="0" borderId="10" xfId="6" applyFont="1" applyBorder="1" applyAlignment="1"/>
    <xf numFmtId="0" fontId="38" fillId="0" borderId="10" xfId="6" applyFont="1" applyFill="1" applyBorder="1" applyAlignment="1">
      <alignment horizontal="right"/>
    </xf>
    <xf numFmtId="0" fontId="38" fillId="0" borderId="10" xfId="6" applyFont="1" applyFill="1" applyBorder="1"/>
    <xf numFmtId="0" fontId="48" fillId="0" borderId="0" xfId="6" applyFont="1"/>
    <xf numFmtId="0" fontId="6" fillId="0" borderId="10" xfId="6" applyFont="1" applyFill="1" applyBorder="1"/>
    <xf numFmtId="0" fontId="47" fillId="0" borderId="10" xfId="6" applyFont="1" applyFill="1" applyBorder="1"/>
    <xf numFmtId="0" fontId="38" fillId="0" borderId="63" xfId="6" applyFont="1" applyBorder="1"/>
    <xf numFmtId="0" fontId="46" fillId="0" borderId="63" xfId="6" applyFont="1" applyBorder="1" applyAlignment="1"/>
    <xf numFmtId="0" fontId="38" fillId="0" borderId="63" xfId="6" applyFont="1" applyBorder="1" applyAlignment="1">
      <alignment horizontal="right"/>
    </xf>
    <xf numFmtId="0" fontId="38" fillId="0" borderId="0" xfId="6" applyFont="1" applyBorder="1" applyAlignment="1">
      <alignment horizontal="right"/>
    </xf>
    <xf numFmtId="0" fontId="46" fillId="0" borderId="0" xfId="6" applyFont="1" applyBorder="1"/>
    <xf numFmtId="0" fontId="39" fillId="0" borderId="0" xfId="6" applyFont="1" applyBorder="1" applyAlignment="1">
      <alignment horizontal="left" vertical="center"/>
    </xf>
    <xf numFmtId="0" fontId="39" fillId="0" borderId="0" xfId="6" applyFont="1" applyFill="1" applyBorder="1" applyAlignment="1">
      <alignment horizontal="left" vertical="center"/>
    </xf>
    <xf numFmtId="0" fontId="39" fillId="0" borderId="0" xfId="6" applyFont="1" applyBorder="1" applyAlignment="1">
      <alignment horizontal="right" vertical="center"/>
    </xf>
    <xf numFmtId="0" fontId="47" fillId="0" borderId="0" xfId="6" applyFont="1" applyBorder="1"/>
    <xf numFmtId="0" fontId="38" fillId="0" borderId="0" xfId="6" applyFont="1" applyFill="1" applyBorder="1"/>
    <xf numFmtId="0" fontId="1" fillId="0" borderId="0" xfId="6" applyBorder="1"/>
    <xf numFmtId="14" fontId="21" fillId="0" borderId="0" xfId="1" applyNumberFormat="1" applyFont="1" applyFill="1" applyAlignment="1">
      <alignment horizontal="right"/>
    </xf>
    <xf numFmtId="0" fontId="20" fillId="0" borderId="0" xfId="1" applyNumberFormat="1" applyFont="1" applyAlignment="1">
      <alignment horizontal="right"/>
    </xf>
    <xf numFmtId="0" fontId="15" fillId="3" borderId="52" xfId="1" applyNumberFormat="1" applyFont="1" applyFill="1" applyBorder="1" applyAlignment="1">
      <alignment horizontal="right" vertical="center"/>
    </xf>
    <xf numFmtId="0" fontId="15" fillId="3" borderId="53" xfId="1" applyNumberFormat="1" applyFont="1" applyFill="1" applyBorder="1" applyAlignment="1">
      <alignment horizontal="right" vertical="center"/>
    </xf>
    <xf numFmtId="0" fontId="16" fillId="3" borderId="12" xfId="1" applyNumberFormat="1" applyFont="1" applyFill="1" applyBorder="1" applyAlignment="1">
      <alignment horizontal="right" vertical="center" wrapText="1"/>
    </xf>
    <xf numFmtId="0" fontId="16" fillId="3" borderId="0" xfId="1" applyNumberFormat="1" applyFont="1" applyFill="1" applyBorder="1" applyAlignment="1">
      <alignment horizontal="right" vertical="center" wrapText="1"/>
    </xf>
    <xf numFmtId="0" fontId="18" fillId="3" borderId="0" xfId="1" applyNumberFormat="1" applyFont="1" applyFill="1" applyBorder="1" applyAlignment="1">
      <alignment horizontal="right" vertical="center"/>
    </xf>
    <xf numFmtId="167" fontId="20" fillId="0" borderId="0" xfId="1" applyNumberFormat="1" applyFont="1" applyAlignment="1">
      <alignment horizontal="right"/>
    </xf>
    <xf numFmtId="49" fontId="7" fillId="2" borderId="4" xfId="0" applyNumberFormat="1" applyFont="1" applyFill="1" applyBorder="1" applyAlignment="1">
      <alignment horizontal="center" shrinkToFit="1"/>
    </xf>
    <xf numFmtId="49" fontId="7" fillId="2" borderId="3" xfId="0" applyNumberFormat="1" applyFont="1" applyFill="1" applyBorder="1" applyAlignment="1">
      <alignment horizontal="center" shrinkToFit="1"/>
    </xf>
    <xf numFmtId="49" fontId="5" fillId="2" borderId="50" xfId="0" applyNumberFormat="1" applyFont="1" applyFill="1" applyBorder="1" applyAlignment="1">
      <alignment horizontal="left" shrinkToFit="1"/>
    </xf>
    <xf numFmtId="49" fontId="5" fillId="2" borderId="9" xfId="0" applyNumberFormat="1" applyFont="1" applyFill="1" applyBorder="1" applyAlignment="1">
      <alignment horizontal="left" shrinkToFit="1"/>
    </xf>
    <xf numFmtId="49" fontId="5" fillId="2" borderId="8" xfId="0" applyNumberFormat="1" applyFont="1" applyFill="1" applyBorder="1" applyAlignment="1">
      <alignment horizontal="left" shrinkToFit="1"/>
    </xf>
    <xf numFmtId="0" fontId="0" fillId="0" borderId="0" xfId="0" applyAlignment="1">
      <alignment horizontal="left" wrapText="1"/>
    </xf>
    <xf numFmtId="166" fontId="8" fillId="2" borderId="54" xfId="0" applyNumberFormat="1" applyFont="1" applyFill="1" applyBorder="1" applyAlignment="1">
      <alignment horizontal="right" indent="2"/>
    </xf>
    <xf numFmtId="166" fontId="8" fillId="2" borderId="48" xfId="0" applyNumberFormat="1" applyFont="1" applyFill="1" applyBorder="1" applyAlignment="1">
      <alignment horizontal="right" indent="2"/>
    </xf>
    <xf numFmtId="0" fontId="4" fillId="0" borderId="28" xfId="0" applyFont="1" applyBorder="1" applyAlignment="1">
      <alignment horizontal="center" shrinkToFit="1"/>
    </xf>
    <xf numFmtId="0" fontId="4" fillId="0" borderId="30" xfId="0" applyFont="1" applyBorder="1" applyAlignment="1">
      <alignment horizontal="center" shrinkToFit="1"/>
    </xf>
    <xf numFmtId="166" fontId="4" fillId="0" borderId="50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right" indent="2"/>
    </xf>
    <xf numFmtId="0" fontId="6" fillId="0" borderId="10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4" fillId="0" borderId="55" xfId="2" applyFont="1" applyBorder="1" applyAlignment="1">
      <alignment horizontal="center"/>
    </xf>
    <xf numFmtId="0" fontId="4" fillId="0" borderId="56" xfId="2" applyFont="1" applyBorder="1" applyAlignment="1">
      <alignment horizontal="center"/>
    </xf>
    <xf numFmtId="0" fontId="4" fillId="0" borderId="57" xfId="2" applyFont="1" applyBorder="1" applyAlignment="1">
      <alignment horizontal="center"/>
    </xf>
    <xf numFmtId="0" fontId="4" fillId="0" borderId="58" xfId="2" applyFont="1" applyBorder="1" applyAlignment="1">
      <alignment horizontal="center"/>
    </xf>
    <xf numFmtId="0" fontId="4" fillId="0" borderId="59" xfId="2" applyFont="1" applyBorder="1" applyAlignment="1">
      <alignment horizontal="left"/>
    </xf>
    <xf numFmtId="0" fontId="4" fillId="0" borderId="43" xfId="2" applyFont="1" applyBorder="1" applyAlignment="1">
      <alignment horizontal="left"/>
    </xf>
    <xf numFmtId="0" fontId="4" fillId="0" borderId="60" xfId="2" applyFont="1" applyBorder="1" applyAlignment="1">
      <alignment horizontal="left"/>
    </xf>
    <xf numFmtId="3" fontId="5" fillId="2" borderId="29" xfId="0" applyNumberFormat="1" applyFont="1" applyFill="1" applyBorder="1" applyAlignment="1">
      <alignment horizontal="right"/>
    </xf>
    <xf numFmtId="3" fontId="5" fillId="2" borderId="48" xfId="0" applyNumberFormat="1" applyFont="1" applyFill="1" applyBorder="1" applyAlignment="1">
      <alignment horizontal="right"/>
    </xf>
    <xf numFmtId="49" fontId="5" fillId="0" borderId="41" xfId="2" applyNumberFormat="1" applyFont="1" applyBorder="1" applyAlignment="1">
      <alignment horizontal="left" shrinkToFit="1"/>
    </xf>
    <xf numFmtId="49" fontId="5" fillId="0" borderId="40" xfId="2" applyNumberFormat="1" applyFont="1" applyBorder="1" applyAlignment="1">
      <alignment horizontal="left" shrinkToFit="1"/>
    </xf>
    <xf numFmtId="49" fontId="5" fillId="0" borderId="56" xfId="2" applyNumberFormat="1" applyFont="1" applyBorder="1" applyAlignment="1">
      <alignment horizontal="left" shrinkToFit="1"/>
    </xf>
    <xf numFmtId="0" fontId="13" fillId="0" borderId="59" xfId="2" applyFont="1" applyFill="1" applyBorder="1" applyAlignment="1">
      <alignment horizontal="left" vertical="top" shrinkToFit="1"/>
    </xf>
    <xf numFmtId="0" fontId="13" fillId="0" borderId="43" xfId="2" applyFont="1" applyFill="1" applyBorder="1" applyAlignment="1">
      <alignment horizontal="left" vertical="top" shrinkToFit="1"/>
    </xf>
    <xf numFmtId="0" fontId="38" fillId="0" borderId="50" xfId="6" applyFont="1" applyBorder="1" applyAlignment="1">
      <alignment horizontal="left" vertical="center"/>
    </xf>
    <xf numFmtId="0" fontId="38" fillId="0" borderId="9" xfId="6" applyFont="1" applyBorder="1" applyAlignment="1">
      <alignment vertical="center"/>
    </xf>
    <xf numFmtId="0" fontId="38" fillId="0" borderId="8" xfId="6" applyFont="1" applyBorder="1" applyAlignment="1">
      <alignment vertical="center"/>
    </xf>
    <xf numFmtId="0" fontId="38" fillId="0" borderId="10" xfId="6" applyFont="1" applyBorder="1" applyAlignment="1"/>
    <xf numFmtId="0" fontId="38" fillId="0" borderId="50" xfId="6" applyFont="1" applyBorder="1" applyAlignment="1"/>
    <xf numFmtId="0" fontId="38" fillId="0" borderId="0" xfId="6" applyFont="1" applyBorder="1" applyAlignment="1"/>
  </cellXfs>
  <cellStyles count="8">
    <cellStyle name="čtyřimísta" xfId="3"/>
    <cellStyle name="Měna" xfId="5" builtinId="4"/>
    <cellStyle name="Normální" xfId="0" builtinId="0"/>
    <cellStyle name="normální 2" xfId="1"/>
    <cellStyle name="normální 2 2" xfId="7"/>
    <cellStyle name="normální 3" xfId="6"/>
    <cellStyle name="normální_POL.XLS" xfId="2"/>
    <cellStyle name="třimísta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zka/Documents/DELL_z&#225;loha_20140115/PROJEKCE%20ZUZANA/Komo&#345;any/2018/ROZPOCET%20FINAL%20KOREKCE/Komo&#345;any_rozpo&#269;et__PRVN&#205;_ETAPA__Z&#225;mek_a_Hl_are&#225;l_0103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imir%20Brezna/Documents/Pracovn&#237;/zak&#225;zky%202009%20-%20od%2008/Obec%20Lochovice%20-%202009%20-%20po&#382;&#225;rn&#237;%20zbrojnice/Po&#382;&#225;rn&#237;%20zbrojnice%20Lochov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ní list"/>
      <sheetName val="Krycí list"/>
      <sheetName val="Rekapitulace"/>
      <sheetName val="Položky I. etp. - zámek, hl. a"/>
      <sheetName val="Péče po dobu tří let"/>
      <sheetName val="VV "/>
      <sheetName val="VR"/>
    </sheetNames>
    <sheetDataSet>
      <sheetData sheetId="0"/>
      <sheetData sheetId="1">
        <row r="5">
          <cell r="A5" t="str">
            <v>02</v>
          </cell>
          <cell r="C5" t="str">
            <v>ČHMÚ v Praze - Komořanech</v>
          </cell>
        </row>
        <row r="6">
          <cell r="G6">
            <v>1208.4000000000001</v>
          </cell>
        </row>
        <row r="7">
          <cell r="A7" t="str">
            <v>2018</v>
          </cell>
          <cell r="C7" t="str">
            <v>Renovace výsadeb a parkové kompozice  - PRVNÍ ETAPA</v>
          </cell>
        </row>
        <row r="30">
          <cell r="C30">
            <v>21</v>
          </cell>
        </row>
        <row r="32">
          <cell r="C32">
            <v>0</v>
          </cell>
        </row>
      </sheetData>
      <sheetData sheetId="2">
        <row r="13">
          <cell r="E13">
            <v>1786639.4851973334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9">
          <cell r="H19">
            <v>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komentář"/>
      <sheetName val="STAVBA CELKEM"/>
      <sheetName val="BUDOVA ZÁZEMÍ"/>
      <sheetName val="TRÉNINKOVÁ HALA"/>
    </sheetNames>
    <sheetDataSet>
      <sheetData sheetId="0"/>
      <sheetData sheetId="1"/>
      <sheetData sheetId="2">
        <row r="6">
          <cell r="C6" t="str">
            <v>09THU2</v>
          </cell>
          <cell r="E6" t="str">
            <v>KOMPLETNÍ DOKONČENÍ ZÁPADNÍ ČÁSTI ZIMNÍHO STADIONU</v>
          </cell>
        </row>
        <row r="25">
          <cell r="C25">
            <v>19</v>
          </cell>
        </row>
        <row r="27">
          <cell r="C27">
            <v>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1:U39"/>
  <sheetViews>
    <sheetView view="pageBreakPreview" topLeftCell="A13" zoomScale="75" zoomScaleNormal="100" zoomScaleSheetLayoutView="70" workbookViewId="0">
      <selection activeCell="L20" sqref="L20"/>
    </sheetView>
  </sheetViews>
  <sheetFormatPr defaultColWidth="9.109375" defaultRowHeight="13.8" x14ac:dyDescent="0.3"/>
  <cols>
    <col min="1" max="1" width="6.44140625" style="137" customWidth="1"/>
    <col min="2" max="2" width="6.5546875" style="137" customWidth="1"/>
    <col min="3" max="13" width="9.6640625" style="137" customWidth="1"/>
    <col min="14" max="17" width="9.109375" style="137"/>
    <col min="18" max="19" width="9.109375" style="137" customWidth="1"/>
    <col min="20" max="20" width="15.109375" style="137" customWidth="1"/>
    <col min="21" max="16384" width="9.109375" style="138"/>
  </cols>
  <sheetData>
    <row r="11" spans="1:20" ht="409.5" customHeight="1" thickBot="1" x14ac:dyDescent="0.35"/>
    <row r="12" spans="1:20" s="139" customFormat="1" ht="15" customHeight="1" x14ac:dyDescent="0.25">
      <c r="A12" s="481"/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</row>
    <row r="13" spans="1:20" s="139" customFormat="1" ht="74.25" customHeight="1" x14ac:dyDescent="0.25">
      <c r="A13" s="483" t="s">
        <v>432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  <c r="Q13" s="484"/>
      <c r="R13" s="484"/>
      <c r="S13" s="484"/>
      <c r="T13" s="484"/>
    </row>
    <row r="14" spans="1:20" s="139" customFormat="1" ht="27" customHeight="1" x14ac:dyDescent="0.25">
      <c r="A14" s="140"/>
      <c r="B14" s="141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142"/>
      <c r="O14" s="142"/>
      <c r="P14" s="142"/>
      <c r="Q14" s="142"/>
      <c r="R14" s="142"/>
      <c r="S14" s="142"/>
      <c r="T14" s="142"/>
    </row>
    <row r="16" spans="1:20" x14ac:dyDescent="0.3">
      <c r="A16" s="486" t="s">
        <v>81</v>
      </c>
      <c r="B16" s="486"/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6"/>
    </row>
    <row r="17" spans="1:20" x14ac:dyDescent="0.3">
      <c r="O17" s="480"/>
      <c r="P17" s="480"/>
      <c r="Q17" s="480"/>
      <c r="R17" s="480"/>
      <c r="S17" s="480"/>
      <c r="T17" s="480"/>
    </row>
    <row r="18" spans="1:20" x14ac:dyDescent="0.3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</row>
    <row r="19" spans="1:20" x14ac:dyDescent="0.3">
      <c r="A19" s="480"/>
      <c r="B19" s="480"/>
      <c r="C19" s="480"/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</row>
    <row r="20" spans="1:20" ht="243" customHeight="1" x14ac:dyDescent="0.3"/>
    <row r="21" spans="1:20" ht="16.2" x14ac:dyDescent="0.3"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</row>
    <row r="22" spans="1:20" x14ac:dyDescent="0.3">
      <c r="B22" s="148"/>
      <c r="C22" s="148"/>
      <c r="D22" s="148"/>
      <c r="E22" s="148"/>
      <c r="F22" s="148"/>
      <c r="G22" s="148"/>
      <c r="H22" s="148"/>
      <c r="I22" s="148"/>
      <c r="K22" s="148"/>
      <c r="L22" s="148"/>
      <c r="M22" s="148"/>
      <c r="N22" s="148"/>
      <c r="O22" s="148"/>
      <c r="P22" s="148"/>
      <c r="Q22" s="148"/>
      <c r="R22" s="148"/>
      <c r="S22" s="148"/>
      <c r="T22" s="149"/>
    </row>
    <row r="23" spans="1:20" ht="16.2" x14ac:dyDescent="0.3"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1" t="s">
        <v>157</v>
      </c>
    </row>
    <row r="24" spans="1:20" x14ac:dyDescent="0.3"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9"/>
    </row>
    <row r="25" spans="1:20" ht="16.2" x14ac:dyDescent="0.3"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1" t="s">
        <v>156</v>
      </c>
    </row>
    <row r="26" spans="1:20" x14ac:dyDescent="0.3"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9"/>
    </row>
    <row r="27" spans="1:20" ht="16.2" x14ac:dyDescent="0.3"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1" t="s">
        <v>155</v>
      </c>
    </row>
    <row r="28" spans="1:20" x14ac:dyDescent="0.3"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9"/>
    </row>
    <row r="29" spans="1:20" ht="16.2" x14ac:dyDescent="0.3"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1" t="s">
        <v>158</v>
      </c>
    </row>
    <row r="30" spans="1:20" x14ac:dyDescent="0.3"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9"/>
    </row>
    <row r="31" spans="1:20" ht="16.2" x14ac:dyDescent="0.3"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50"/>
      <c r="R31" s="148"/>
      <c r="S31" s="148"/>
      <c r="T31" s="151" t="s">
        <v>154</v>
      </c>
    </row>
    <row r="32" spans="1:20" x14ac:dyDescent="0.3"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9"/>
    </row>
    <row r="33" spans="1:21" ht="16.2" x14ac:dyDescent="0.3"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T33" s="151" t="s">
        <v>153</v>
      </c>
    </row>
    <row r="34" spans="1:21" x14ac:dyDescent="0.3"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T34" s="149"/>
      <c r="U34" s="149"/>
    </row>
    <row r="35" spans="1:21" ht="16.2" x14ac:dyDescent="0.3"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479">
        <f ca="1">TODAY()</f>
        <v>43200</v>
      </c>
      <c r="T35" s="479"/>
      <c r="U35" s="153"/>
    </row>
    <row r="36" spans="1:21" x14ac:dyDescent="0.3"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21" ht="12.75" customHeight="1" x14ac:dyDescent="0.3"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</row>
    <row r="38" spans="1:21" ht="16.2" x14ac:dyDescent="0.3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55"/>
    </row>
    <row r="39" spans="1:21" ht="16.2" x14ac:dyDescent="0.3">
      <c r="T39" s="155"/>
    </row>
  </sheetData>
  <mergeCells count="7">
    <mergeCell ref="S35:T35"/>
    <mergeCell ref="A19:T19"/>
    <mergeCell ref="A12:T12"/>
    <mergeCell ref="A13:T13"/>
    <mergeCell ref="C14:M14"/>
    <mergeCell ref="A16:T16"/>
    <mergeCell ref="O17:T17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FF0000"/>
  </sheetPr>
  <dimension ref="A1:BE46"/>
  <sheetViews>
    <sheetView topLeftCell="A13" workbookViewId="0">
      <selection activeCell="H29" sqref="H29"/>
    </sheetView>
  </sheetViews>
  <sheetFormatPr defaultRowHeight="13.2" x14ac:dyDescent="0.25"/>
  <cols>
    <col min="1" max="1" width="2" customWidth="1"/>
    <col min="2" max="2" width="15" customWidth="1"/>
    <col min="3" max="3" width="15.88671875" customWidth="1"/>
    <col min="4" max="4" width="14.5546875" customWidth="1"/>
    <col min="5" max="5" width="13.5546875" customWidth="1"/>
    <col min="6" max="6" width="16.5546875" customWidth="1"/>
    <col min="7" max="7" width="15.33203125" customWidth="1"/>
  </cols>
  <sheetData>
    <row r="1" spans="1:57" ht="24.75" customHeight="1" thickBot="1" x14ac:dyDescent="0.3">
      <c r="A1" s="1" t="s">
        <v>0</v>
      </c>
      <c r="B1" s="2"/>
      <c r="C1" s="2"/>
      <c r="D1" s="2"/>
      <c r="E1" s="2"/>
      <c r="F1" s="2"/>
      <c r="G1" s="2"/>
    </row>
    <row r="2" spans="1:57" ht="12.75" customHeight="1" x14ac:dyDescent="0.25">
      <c r="A2" s="3" t="s">
        <v>1</v>
      </c>
      <c r="B2" s="4"/>
      <c r="C2" s="5" t="str">
        <f>Rekapitulace!H1</f>
        <v>02/2018</v>
      </c>
      <c r="D2" s="487" t="str">
        <f>Rekapitulace!G2</f>
        <v>Renovace výsadeb ČHMU Komořany</v>
      </c>
      <c r="E2" s="488"/>
      <c r="F2" s="6" t="s">
        <v>2</v>
      </c>
      <c r="G2" s="7" t="s">
        <v>74</v>
      </c>
    </row>
    <row r="3" spans="1:57" ht="3" hidden="1" customHeight="1" x14ac:dyDescent="0.25">
      <c r="A3" s="8"/>
      <c r="B3" s="9"/>
      <c r="C3" s="10"/>
      <c r="D3" s="10"/>
      <c r="E3" s="11"/>
      <c r="F3" s="12"/>
      <c r="G3" s="13"/>
    </row>
    <row r="4" spans="1:57" ht="12" customHeight="1" x14ac:dyDescent="0.25">
      <c r="A4" s="14" t="s">
        <v>3</v>
      </c>
      <c r="B4" s="9"/>
      <c r="C4" s="10" t="s">
        <v>4</v>
      </c>
      <c r="D4" s="10"/>
      <c r="E4" s="11"/>
      <c r="F4" s="12" t="s">
        <v>5</v>
      </c>
      <c r="G4" s="15"/>
    </row>
    <row r="5" spans="1:57" ht="12.9" customHeight="1" x14ac:dyDescent="0.25">
      <c r="A5" s="145" t="s">
        <v>358</v>
      </c>
      <c r="B5" s="16"/>
      <c r="C5" s="17" t="s">
        <v>128</v>
      </c>
      <c r="D5" s="18"/>
      <c r="E5" s="16"/>
      <c r="F5" s="12" t="s">
        <v>7</v>
      </c>
      <c r="G5" s="13" t="s">
        <v>75</v>
      </c>
    </row>
    <row r="6" spans="1:57" ht="12.9" customHeight="1" x14ac:dyDescent="0.25">
      <c r="A6" s="14" t="s">
        <v>8</v>
      </c>
      <c r="B6" s="9"/>
      <c r="C6" s="10" t="s">
        <v>9</v>
      </c>
      <c r="D6" s="10"/>
      <c r="E6" s="11"/>
      <c r="F6" s="19" t="s">
        <v>10</v>
      </c>
      <c r="G6" s="20">
        <f>'Položky I. etp. - zámek, hl. a'!D634</f>
        <v>1208.4000000000001</v>
      </c>
      <c r="O6" s="21"/>
    </row>
    <row r="7" spans="1:57" ht="12.9" customHeight="1" x14ac:dyDescent="0.25">
      <c r="A7" s="146" t="s">
        <v>454</v>
      </c>
      <c r="B7" s="22"/>
      <c r="C7" s="489" t="s">
        <v>456</v>
      </c>
      <c r="D7" s="490"/>
      <c r="E7" s="491"/>
      <c r="F7" s="23" t="s">
        <v>11</v>
      </c>
      <c r="G7" s="20">
        <f>IF(PocetMJ=0,,ROUND((F30+F32)/PocetMJ,1))</f>
        <v>0</v>
      </c>
    </row>
    <row r="8" spans="1:57" x14ac:dyDescent="0.25">
      <c r="A8" s="24" t="s">
        <v>12</v>
      </c>
      <c r="B8" s="12"/>
      <c r="C8" s="499"/>
      <c r="D8" s="499"/>
      <c r="E8" s="500"/>
      <c r="F8" s="25" t="s">
        <v>13</v>
      </c>
      <c r="G8" s="26"/>
      <c r="H8" s="27"/>
      <c r="I8" s="28"/>
    </row>
    <row r="9" spans="1:57" x14ac:dyDescent="0.25">
      <c r="A9" s="24" t="s">
        <v>14</v>
      </c>
      <c r="B9" s="12"/>
      <c r="C9" s="499">
        <f>Projektant</f>
        <v>0</v>
      </c>
      <c r="D9" s="499"/>
      <c r="E9" s="500"/>
      <c r="F9" s="12"/>
      <c r="G9" s="29"/>
      <c r="H9" s="30"/>
    </row>
    <row r="10" spans="1:57" x14ac:dyDescent="0.25">
      <c r="A10" s="24" t="s">
        <v>15</v>
      </c>
      <c r="B10" s="12"/>
      <c r="C10" s="499" t="s">
        <v>80</v>
      </c>
      <c r="D10" s="499"/>
      <c r="E10" s="499"/>
      <c r="F10" s="31"/>
      <c r="G10" s="32"/>
      <c r="H10" s="33"/>
    </row>
    <row r="11" spans="1:57" ht="13.5" customHeight="1" x14ac:dyDescent="0.25">
      <c r="A11" s="24" t="s">
        <v>16</v>
      </c>
      <c r="B11" s="12"/>
      <c r="C11" s="499"/>
      <c r="D11" s="499"/>
      <c r="E11" s="499"/>
      <c r="F11" s="34" t="s">
        <v>17</v>
      </c>
      <c r="G11" s="35"/>
      <c r="H11" s="30"/>
      <c r="BA11" s="36"/>
      <c r="BB11" s="36"/>
      <c r="BC11" s="36"/>
      <c r="BD11" s="36"/>
      <c r="BE11" s="36"/>
    </row>
    <row r="12" spans="1:57" ht="12.75" customHeight="1" x14ac:dyDescent="0.25">
      <c r="A12" s="37" t="s">
        <v>18</v>
      </c>
      <c r="B12" s="9"/>
      <c r="C12" s="501"/>
      <c r="D12" s="501"/>
      <c r="E12" s="501"/>
      <c r="F12" s="38" t="s">
        <v>19</v>
      </c>
      <c r="G12" s="39"/>
      <c r="H12" s="30"/>
    </row>
    <row r="13" spans="1:57" ht="28.5" customHeight="1" thickBot="1" x14ac:dyDescent="0.3">
      <c r="A13" s="40" t="s">
        <v>20</v>
      </c>
      <c r="B13" s="41"/>
      <c r="C13" s="41"/>
      <c r="D13" s="41"/>
      <c r="E13" s="42"/>
      <c r="F13" s="42"/>
      <c r="G13" s="43"/>
      <c r="H13" s="30"/>
    </row>
    <row r="14" spans="1:57" ht="17.25" customHeight="1" thickBot="1" x14ac:dyDescent="0.3">
      <c r="A14" s="44" t="s">
        <v>21</v>
      </c>
      <c r="B14" s="45"/>
      <c r="C14" s="46"/>
      <c r="D14" s="47" t="s">
        <v>22</v>
      </c>
      <c r="E14" s="48"/>
      <c r="F14" s="48"/>
      <c r="G14" s="46"/>
    </row>
    <row r="15" spans="1:57" ht="15.9" customHeight="1" x14ac:dyDescent="0.25">
      <c r="A15" s="49"/>
      <c r="B15" s="50" t="s">
        <v>23</v>
      </c>
      <c r="C15" s="51">
        <f>HSV</f>
        <v>0</v>
      </c>
      <c r="D15" s="52"/>
      <c r="E15" s="53"/>
      <c r="F15" s="54"/>
      <c r="G15" s="51"/>
    </row>
    <row r="16" spans="1:57" ht="15.9" customHeight="1" x14ac:dyDescent="0.25">
      <c r="A16" s="49" t="s">
        <v>24</v>
      </c>
      <c r="B16" s="50" t="s">
        <v>25</v>
      </c>
      <c r="C16" s="51">
        <f>PSV</f>
        <v>0</v>
      </c>
      <c r="D16" s="8"/>
      <c r="E16" s="55"/>
      <c r="F16" s="56"/>
      <c r="G16" s="51"/>
    </row>
    <row r="17" spans="1:7" ht="15.9" customHeight="1" x14ac:dyDescent="0.25">
      <c r="A17" s="49" t="s">
        <v>26</v>
      </c>
      <c r="B17" s="50" t="s">
        <v>27</v>
      </c>
      <c r="C17" s="51">
        <f>Mont</f>
        <v>0</v>
      </c>
      <c r="D17" s="8"/>
      <c r="E17" s="55"/>
      <c r="F17" s="56"/>
      <c r="G17" s="51"/>
    </row>
    <row r="18" spans="1:7" ht="15.9" customHeight="1" x14ac:dyDescent="0.25">
      <c r="A18" s="57" t="s">
        <v>28</v>
      </c>
      <c r="B18" s="58" t="s">
        <v>29</v>
      </c>
      <c r="C18" s="51">
        <f>Dodavka</f>
        <v>0</v>
      </c>
      <c r="D18" s="8"/>
      <c r="E18" s="55"/>
      <c r="F18" s="56"/>
      <c r="G18" s="51"/>
    </row>
    <row r="19" spans="1:7" ht="15.9" customHeight="1" x14ac:dyDescent="0.25">
      <c r="A19" s="59" t="s">
        <v>30</v>
      </c>
      <c r="B19" s="50"/>
      <c r="C19" s="51">
        <f>SUM(C15:C18)</f>
        <v>0</v>
      </c>
      <c r="D19" s="8"/>
      <c r="E19" s="55"/>
      <c r="F19" s="56"/>
      <c r="G19" s="51"/>
    </row>
    <row r="20" spans="1:7" ht="15.9" customHeight="1" x14ac:dyDescent="0.25">
      <c r="A20" s="59"/>
      <c r="B20" s="50"/>
      <c r="C20" s="51"/>
      <c r="D20" s="8"/>
      <c r="E20" s="55"/>
      <c r="F20" s="56"/>
      <c r="G20" s="51"/>
    </row>
    <row r="21" spans="1:7" ht="15.9" customHeight="1" x14ac:dyDescent="0.25">
      <c r="A21" s="59" t="s">
        <v>31</v>
      </c>
      <c r="B21" s="50"/>
      <c r="C21" s="51">
        <f>HZS</f>
        <v>0</v>
      </c>
      <c r="D21" s="8"/>
      <c r="E21" s="55"/>
      <c r="F21" s="56"/>
      <c r="G21" s="51"/>
    </row>
    <row r="22" spans="1:7" ht="15.9" customHeight="1" x14ac:dyDescent="0.25">
      <c r="A22" s="60" t="s">
        <v>32</v>
      </c>
      <c r="B22" s="61"/>
      <c r="C22" s="51">
        <f>C19+C21</f>
        <v>0</v>
      </c>
      <c r="D22" s="8" t="s">
        <v>33</v>
      </c>
      <c r="E22" s="55"/>
      <c r="F22" s="56"/>
      <c r="G22" s="51">
        <f>G23-SUM(G15:G21)</f>
        <v>0</v>
      </c>
    </row>
    <row r="23" spans="1:7" ht="15.9" customHeight="1" thickBot="1" x14ac:dyDescent="0.3">
      <c r="A23" s="495" t="s">
        <v>34</v>
      </c>
      <c r="B23" s="496"/>
      <c r="C23" s="62">
        <f>C22+G23</f>
        <v>0</v>
      </c>
      <c r="D23" s="63" t="s">
        <v>35</v>
      </c>
      <c r="E23" s="64"/>
      <c r="F23" s="65"/>
      <c r="G23" s="51">
        <f>VRN</f>
        <v>0</v>
      </c>
    </row>
    <row r="24" spans="1:7" x14ac:dyDescent="0.25">
      <c r="A24" s="66" t="s">
        <v>36</v>
      </c>
      <c r="B24" s="67"/>
      <c r="C24" s="68"/>
      <c r="D24" s="67" t="s">
        <v>37</v>
      </c>
      <c r="E24" s="67"/>
      <c r="F24" s="69" t="s">
        <v>38</v>
      </c>
      <c r="G24" s="70"/>
    </row>
    <row r="25" spans="1:7" x14ac:dyDescent="0.25">
      <c r="A25" s="60" t="s">
        <v>39</v>
      </c>
      <c r="B25" s="61"/>
      <c r="C25" s="71"/>
      <c r="D25" s="61" t="s">
        <v>39</v>
      </c>
      <c r="E25" s="72"/>
      <c r="F25" s="73" t="s">
        <v>39</v>
      </c>
      <c r="G25" s="74"/>
    </row>
    <row r="26" spans="1:7" ht="37.5" customHeight="1" x14ac:dyDescent="0.25">
      <c r="A26" s="60" t="s">
        <v>40</v>
      </c>
      <c r="B26" s="75"/>
      <c r="C26" s="71"/>
      <c r="D26" s="61" t="s">
        <v>40</v>
      </c>
      <c r="E26" s="72"/>
      <c r="F26" s="73" t="s">
        <v>40</v>
      </c>
      <c r="G26" s="74"/>
    </row>
    <row r="27" spans="1:7" x14ac:dyDescent="0.25">
      <c r="A27" s="60"/>
      <c r="B27" s="76"/>
      <c r="C27" s="71"/>
      <c r="D27" s="61"/>
      <c r="E27" s="72"/>
      <c r="F27" s="73"/>
      <c r="G27" s="74"/>
    </row>
    <row r="28" spans="1:7" x14ac:dyDescent="0.25">
      <c r="A28" s="60" t="s">
        <v>41</v>
      </c>
      <c r="B28" s="61"/>
      <c r="C28" s="71"/>
      <c r="D28" s="73" t="s">
        <v>42</v>
      </c>
      <c r="E28" s="71"/>
      <c r="F28" s="77" t="s">
        <v>42</v>
      </c>
      <c r="G28" s="74"/>
    </row>
    <row r="29" spans="1:7" ht="69" customHeight="1" x14ac:dyDescent="0.25">
      <c r="A29" s="60"/>
      <c r="B29" s="61"/>
      <c r="C29" s="78"/>
      <c r="D29" s="79"/>
      <c r="E29" s="78"/>
      <c r="F29" s="61"/>
      <c r="G29" s="74"/>
    </row>
    <row r="30" spans="1:7" x14ac:dyDescent="0.25">
      <c r="A30" s="80" t="s">
        <v>43</v>
      </c>
      <c r="B30" s="81"/>
      <c r="C30" s="82">
        <v>21</v>
      </c>
      <c r="D30" s="81" t="s">
        <v>44</v>
      </c>
      <c r="E30" s="83"/>
      <c r="F30" s="497">
        <f>C23-F32</f>
        <v>0</v>
      </c>
      <c r="G30" s="498"/>
    </row>
    <row r="31" spans="1:7" x14ac:dyDescent="0.25">
      <c r="A31" s="80" t="s">
        <v>45</v>
      </c>
      <c r="B31" s="81"/>
      <c r="C31" s="82">
        <f>SazbaDPH1</f>
        <v>21</v>
      </c>
      <c r="D31" s="81" t="s">
        <v>46</v>
      </c>
      <c r="E31" s="83"/>
      <c r="F31" s="497">
        <f>ROUND(PRODUCT(F30,C31/100),0)</f>
        <v>0</v>
      </c>
      <c r="G31" s="498"/>
    </row>
    <row r="32" spans="1:7" x14ac:dyDescent="0.25">
      <c r="A32" s="80" t="s">
        <v>43</v>
      </c>
      <c r="B32" s="81"/>
      <c r="C32" s="82">
        <v>0</v>
      </c>
      <c r="D32" s="81" t="s">
        <v>46</v>
      </c>
      <c r="E32" s="83"/>
      <c r="F32" s="497">
        <v>0</v>
      </c>
      <c r="G32" s="498"/>
    </row>
    <row r="33" spans="1:8" x14ac:dyDescent="0.25">
      <c r="A33" s="80" t="s">
        <v>45</v>
      </c>
      <c r="B33" s="84"/>
      <c r="C33" s="85">
        <f>SazbaDPH2</f>
        <v>0</v>
      </c>
      <c r="D33" s="81" t="s">
        <v>46</v>
      </c>
      <c r="E33" s="56"/>
      <c r="F33" s="497">
        <f>ROUND(PRODUCT(F32,C33/100),0)</f>
        <v>0</v>
      </c>
      <c r="G33" s="498"/>
    </row>
    <row r="34" spans="1:8" s="89" customFormat="1" ht="19.5" customHeight="1" thickBot="1" x14ac:dyDescent="0.35">
      <c r="A34" s="86" t="s">
        <v>47</v>
      </c>
      <c r="B34" s="87"/>
      <c r="C34" s="87"/>
      <c r="D34" s="87"/>
      <c r="E34" s="88"/>
      <c r="F34" s="493">
        <f>ROUND(SUM(F30:F33),0)</f>
        <v>0</v>
      </c>
      <c r="G34" s="494"/>
    </row>
    <row r="36" spans="1:8" x14ac:dyDescent="0.25">
      <c r="A36" s="90" t="s">
        <v>48</v>
      </c>
      <c r="B36" s="90"/>
      <c r="C36" s="90"/>
      <c r="D36" s="90"/>
      <c r="E36" s="90"/>
      <c r="F36" s="90"/>
      <c r="G36" s="90"/>
      <c r="H36" t="s">
        <v>6</v>
      </c>
    </row>
    <row r="37" spans="1:8" x14ac:dyDescent="0.25">
      <c r="B37" s="492"/>
      <c r="C37" s="492"/>
      <c r="D37" s="492"/>
      <c r="E37" s="492"/>
      <c r="F37" s="492"/>
      <c r="G37" s="492"/>
    </row>
    <row r="38" spans="1:8" x14ac:dyDescent="0.25">
      <c r="B38" s="492"/>
      <c r="C38" s="492"/>
      <c r="D38" s="492"/>
      <c r="E38" s="492"/>
      <c r="F38" s="492"/>
      <c r="G38" s="492"/>
    </row>
    <row r="39" spans="1:8" x14ac:dyDescent="0.25">
      <c r="B39" s="492"/>
      <c r="C39" s="492"/>
      <c r="D39" s="492"/>
      <c r="E39" s="492"/>
      <c r="F39" s="492"/>
      <c r="G39" s="492"/>
    </row>
    <row r="40" spans="1:8" x14ac:dyDescent="0.25">
      <c r="B40" s="492"/>
      <c r="C40" s="492"/>
      <c r="D40" s="492"/>
      <c r="E40" s="492"/>
      <c r="F40" s="492"/>
      <c r="G40" s="492"/>
    </row>
    <row r="41" spans="1:8" x14ac:dyDescent="0.25">
      <c r="B41" s="492"/>
      <c r="C41" s="492"/>
      <c r="D41" s="492"/>
      <c r="E41" s="492"/>
      <c r="F41" s="492"/>
      <c r="G41" s="492"/>
    </row>
    <row r="42" spans="1:8" x14ac:dyDescent="0.25">
      <c r="B42" s="492"/>
      <c r="C42" s="492"/>
      <c r="D42" s="492"/>
      <c r="E42" s="492"/>
      <c r="F42" s="492"/>
      <c r="G42" s="492"/>
    </row>
    <row r="43" spans="1:8" x14ac:dyDescent="0.25">
      <c r="B43" s="492"/>
      <c r="C43" s="492"/>
      <c r="D43" s="492"/>
      <c r="E43" s="492"/>
      <c r="F43" s="492"/>
      <c r="G43" s="492"/>
    </row>
    <row r="44" spans="1:8" x14ac:dyDescent="0.25">
      <c r="B44" s="492"/>
      <c r="C44" s="492"/>
      <c r="D44" s="492"/>
      <c r="E44" s="492"/>
      <c r="F44" s="492"/>
      <c r="G44" s="492"/>
    </row>
    <row r="45" spans="1:8" x14ac:dyDescent="0.25">
      <c r="B45" s="492"/>
      <c r="C45" s="492"/>
      <c r="D45" s="492"/>
      <c r="E45" s="492"/>
      <c r="F45" s="492"/>
      <c r="G45" s="492"/>
    </row>
    <row r="46" spans="1:8" x14ac:dyDescent="0.25">
      <c r="B46" s="492"/>
      <c r="C46" s="492"/>
      <c r="D46" s="492"/>
      <c r="E46" s="492"/>
      <c r="F46" s="492"/>
      <c r="G46" s="492"/>
    </row>
  </sheetData>
  <mergeCells count="23">
    <mergeCell ref="F32:G32"/>
    <mergeCell ref="F33:G33"/>
    <mergeCell ref="C8:E8"/>
    <mergeCell ref="C9:E9"/>
    <mergeCell ref="C10:E10"/>
    <mergeCell ref="C11:E11"/>
    <mergeCell ref="C12:E12"/>
    <mergeCell ref="D2:E2"/>
    <mergeCell ref="C7:E7"/>
    <mergeCell ref="B46:G46"/>
    <mergeCell ref="B37:G37"/>
    <mergeCell ref="B38:G38"/>
    <mergeCell ref="B39:G39"/>
    <mergeCell ref="B40:G40"/>
    <mergeCell ref="B41:G41"/>
    <mergeCell ref="B42:G42"/>
    <mergeCell ref="F34:G34"/>
    <mergeCell ref="B43:G43"/>
    <mergeCell ref="B44:G44"/>
    <mergeCell ref="B45:G45"/>
    <mergeCell ref="A23:B23"/>
    <mergeCell ref="F30:G30"/>
    <mergeCell ref="F31:G3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tabColor rgb="FF00B050"/>
  </sheetPr>
  <dimension ref="A1:BE70"/>
  <sheetViews>
    <sheetView workbookViewId="0">
      <selection activeCell="C1" sqref="C1:F1"/>
    </sheetView>
  </sheetViews>
  <sheetFormatPr defaultRowHeight="13.2" x14ac:dyDescent="0.25"/>
  <cols>
    <col min="1" max="1" width="2" customWidth="1"/>
    <col min="2" max="2" width="6.109375" customWidth="1"/>
    <col min="3" max="3" width="11.44140625" customWidth="1"/>
    <col min="4" max="4" width="27.6640625" customWidth="1"/>
    <col min="5" max="5" width="9.109375" bestFit="1" customWidth="1"/>
    <col min="6" max="6" width="6.88671875" customWidth="1"/>
    <col min="7" max="8" width="9.5546875" customWidth="1"/>
    <col min="9" max="9" width="10.6640625" customWidth="1"/>
  </cols>
  <sheetData>
    <row r="1" spans="1:57" ht="13.8" thickTop="1" x14ac:dyDescent="0.25">
      <c r="A1" s="502" t="s">
        <v>49</v>
      </c>
      <c r="B1" s="503"/>
      <c r="C1" s="511" t="str">
        <f>CONCATENATE(cislostavby," ",nazevstavby)</f>
        <v>2018 Renovace výsadeb a parkové kompozice  - PRVNÍ ETAPA</v>
      </c>
      <c r="D1" s="512"/>
      <c r="E1" s="512"/>
      <c r="F1" s="513"/>
      <c r="G1" s="91" t="s">
        <v>50</v>
      </c>
      <c r="H1" s="147" t="s">
        <v>457</v>
      </c>
      <c r="I1" s="92"/>
    </row>
    <row r="2" spans="1:57" ht="13.8" thickBot="1" x14ac:dyDescent="0.3">
      <c r="A2" s="504" t="s">
        <v>51</v>
      </c>
      <c r="B2" s="505"/>
      <c r="C2" s="93" t="str">
        <f>CONCATENATE(cisloobjektu," ",nazevobjektu)</f>
        <v>02 ČHMÚ v Praze - Komořanech</v>
      </c>
      <c r="D2" s="94"/>
      <c r="E2" s="95"/>
      <c r="F2" s="94"/>
      <c r="G2" s="506" t="s">
        <v>127</v>
      </c>
      <c r="H2" s="507"/>
      <c r="I2" s="508"/>
    </row>
    <row r="3" spans="1:57" ht="13.8" thickTop="1" x14ac:dyDescent="0.25">
      <c r="A3" s="72"/>
      <c r="B3" s="72"/>
      <c r="C3" s="72"/>
      <c r="D3" s="72"/>
      <c r="E3" s="72"/>
      <c r="F3" s="61"/>
      <c r="G3" s="72"/>
      <c r="H3" s="72"/>
      <c r="I3" s="72"/>
    </row>
    <row r="4" spans="1:57" ht="19.5" customHeight="1" x14ac:dyDescent="0.3">
      <c r="A4" s="96" t="s">
        <v>52</v>
      </c>
      <c r="B4" s="97"/>
      <c r="C4" s="97"/>
      <c r="D4" s="97"/>
      <c r="E4" s="98"/>
      <c r="F4" s="97"/>
      <c r="G4" s="97"/>
      <c r="H4" s="97"/>
      <c r="I4" s="97"/>
    </row>
    <row r="5" spans="1:57" ht="13.8" thickBot="1" x14ac:dyDescent="0.3">
      <c r="A5" s="72"/>
      <c r="B5" s="72"/>
      <c r="C5" s="72"/>
      <c r="D5" s="72"/>
      <c r="E5" s="72"/>
      <c r="F5" s="72"/>
      <c r="G5" s="72"/>
      <c r="H5" s="72"/>
      <c r="I5" s="72"/>
    </row>
    <row r="6" spans="1:57" s="30" customFormat="1" ht="13.8" thickBot="1" x14ac:dyDescent="0.3">
      <c r="A6" s="99"/>
      <c r="B6" s="100" t="s">
        <v>53</v>
      </c>
      <c r="C6" s="100"/>
      <c r="D6" s="101"/>
      <c r="E6" s="102" t="s">
        <v>54</v>
      </c>
      <c r="F6" s="103" t="s">
        <v>55</v>
      </c>
      <c r="G6" s="103" t="s">
        <v>56</v>
      </c>
      <c r="H6" s="103" t="s">
        <v>57</v>
      </c>
      <c r="I6" s="104" t="s">
        <v>31</v>
      </c>
    </row>
    <row r="7" spans="1:57" s="30" customFormat="1" x14ac:dyDescent="0.25">
      <c r="A7" s="144">
        <f>'Položky I. etp. - zámek, hl. a'!A616</f>
        <v>1</v>
      </c>
      <c r="B7" s="105" t="str">
        <f>'Položky I. etp. - zámek, hl. a'!B616</f>
        <v>Kácení a odstraňování dřevin</v>
      </c>
      <c r="C7" s="61"/>
      <c r="D7" s="106"/>
      <c r="E7" s="252">
        <f>'Položky I. etp. - zámek, hl. a'!G616</f>
        <v>0</v>
      </c>
      <c r="F7" s="135"/>
      <c r="G7" s="135"/>
      <c r="H7" s="135"/>
      <c r="I7" s="136"/>
    </row>
    <row r="8" spans="1:57" s="30" customFormat="1" x14ac:dyDescent="0.25">
      <c r="A8" s="144">
        <f>'Položky I. etp. - zámek, hl. a'!A617</f>
        <v>2</v>
      </c>
      <c r="B8" s="105" t="str">
        <f>'Položky I. etp. - zámek, hl. a'!B617</f>
        <v>Úprava terénu HTÚ</v>
      </c>
      <c r="C8" s="61"/>
      <c r="D8" s="106"/>
      <c r="E8" s="252">
        <f>'Položky I. etp. - zámek, hl. a'!G617</f>
        <v>0</v>
      </c>
      <c r="F8" s="135"/>
      <c r="G8" s="135"/>
      <c r="H8" s="135"/>
      <c r="I8" s="136"/>
    </row>
    <row r="9" spans="1:57" s="30" customFormat="1" x14ac:dyDescent="0.25">
      <c r="A9" s="144">
        <f>'Položky I. etp. - zámek, hl. a'!A618</f>
        <v>3</v>
      </c>
      <c r="B9" s="105" t="str">
        <f>'Položky I. etp. - zámek, hl. a'!B618</f>
        <v>Stromy</v>
      </c>
      <c r="C9" s="61"/>
      <c r="D9" s="106"/>
      <c r="E9" s="252">
        <f>'Položky I. etp. - zámek, hl. a'!G618</f>
        <v>0</v>
      </c>
      <c r="F9" s="135"/>
      <c r="G9" s="135"/>
      <c r="H9" s="135"/>
      <c r="I9" s="136"/>
    </row>
    <row r="10" spans="1:57" s="30" customFormat="1" x14ac:dyDescent="0.25">
      <c r="A10" s="144">
        <f>'Položky I. etp. - zámek, hl. a'!A632</f>
        <v>4</v>
      </c>
      <c r="B10" s="105" t="str">
        <f>'Položky I. etp. - zámek, hl. a'!B632</f>
        <v>Výsadba rostlin dle jednotlivých záhonů, založení trávníku</v>
      </c>
      <c r="C10" s="61"/>
      <c r="D10" s="106"/>
      <c r="E10" s="252">
        <f>'Položky I. etp. - zámek, hl. a'!G632</f>
        <v>0</v>
      </c>
      <c r="F10" s="135"/>
      <c r="G10" s="135"/>
      <c r="H10" s="135"/>
      <c r="I10" s="136"/>
    </row>
    <row r="11" spans="1:57" s="30" customFormat="1" x14ac:dyDescent="0.25">
      <c r="A11" s="144">
        <f>'Položky I. etp. - zámek, hl. a'!A637</f>
        <v>5</v>
      </c>
      <c r="B11" s="105" t="str">
        <f>'Položky I. etp. - zámek, hl. a'!B637</f>
        <v>Údržba po dobu tří let vše (Zámek a Hl. areál TZ 4,5,6,7)</v>
      </c>
      <c r="C11" s="61"/>
      <c r="D11" s="106"/>
      <c r="E11" s="252">
        <f>'Položky I. etp. - zámek, hl. a'!G637</f>
        <v>0</v>
      </c>
      <c r="F11" s="135"/>
      <c r="G11" s="135"/>
      <c r="H11" s="135"/>
      <c r="I11" s="136"/>
    </row>
    <row r="12" spans="1:57" s="30" customFormat="1" ht="13.8" thickBot="1" x14ac:dyDescent="0.3">
      <c r="A12" s="254"/>
      <c r="B12" s="105"/>
      <c r="C12" s="61"/>
      <c r="D12" s="106"/>
      <c r="E12" s="252"/>
      <c r="F12" s="135"/>
      <c r="G12" s="135"/>
      <c r="H12" s="135"/>
      <c r="I12" s="136"/>
    </row>
    <row r="13" spans="1:57" s="112" customFormat="1" ht="13.8" thickBot="1" x14ac:dyDescent="0.3">
      <c r="A13" s="107"/>
      <c r="B13" s="108" t="s">
        <v>58</v>
      </c>
      <c r="C13" s="108"/>
      <c r="D13" s="109"/>
      <c r="E13" s="253">
        <f>SUM(E7:E12)</f>
        <v>0</v>
      </c>
      <c r="F13" s="110">
        <f>SUM(F7:F12)</f>
        <v>0</v>
      </c>
      <c r="G13" s="110">
        <f>SUM(G7:G12)</f>
        <v>0</v>
      </c>
      <c r="H13" s="110">
        <f>SUM(H7:H12)</f>
        <v>0</v>
      </c>
      <c r="I13" s="111">
        <f>SUM(I7:I12)</f>
        <v>0</v>
      </c>
    </row>
    <row r="14" spans="1:57" x14ac:dyDescent="0.25">
      <c r="A14" s="61"/>
      <c r="B14" s="61"/>
      <c r="C14" s="61"/>
      <c r="D14" s="61"/>
      <c r="E14" s="248"/>
      <c r="F14" s="61"/>
      <c r="G14" s="61"/>
      <c r="H14" s="61"/>
      <c r="I14" s="61"/>
    </row>
    <row r="15" spans="1:57" ht="19.5" customHeight="1" x14ac:dyDescent="0.3">
      <c r="A15" s="97" t="s">
        <v>59</v>
      </c>
      <c r="B15" s="97"/>
      <c r="C15" s="97"/>
      <c r="D15" s="97"/>
      <c r="E15" s="97"/>
      <c r="F15" s="97"/>
      <c r="G15" s="113"/>
      <c r="H15" s="97"/>
      <c r="I15" s="97"/>
      <c r="BA15" s="36"/>
      <c r="BB15" s="36"/>
      <c r="BC15" s="36"/>
      <c r="BD15" s="36"/>
      <c r="BE15" s="36"/>
    </row>
    <row r="16" spans="1:57" ht="13.8" thickBot="1" x14ac:dyDescent="0.3">
      <c r="A16" s="72"/>
      <c r="B16" s="72"/>
      <c r="C16" s="72"/>
      <c r="D16" s="72"/>
      <c r="E16" s="72"/>
      <c r="F16" s="72"/>
      <c r="G16" s="72"/>
      <c r="H16" s="72"/>
      <c r="I16" s="72"/>
    </row>
    <row r="17" spans="1:53" x14ac:dyDescent="0.25">
      <c r="A17" s="66" t="s">
        <v>60</v>
      </c>
      <c r="B17" s="67"/>
      <c r="C17" s="67"/>
      <c r="D17" s="114"/>
      <c r="E17" s="115" t="s">
        <v>61</v>
      </c>
      <c r="F17" s="116" t="s">
        <v>62</v>
      </c>
      <c r="G17" s="117" t="s">
        <v>63</v>
      </c>
      <c r="H17" s="118"/>
      <c r="I17" s="119" t="s">
        <v>61</v>
      </c>
    </row>
    <row r="18" spans="1:53" x14ac:dyDescent="0.25">
      <c r="A18" s="59"/>
      <c r="B18" s="50"/>
      <c r="C18" s="50"/>
      <c r="D18" s="120"/>
      <c r="E18" s="121"/>
      <c r="F18" s="122"/>
      <c r="G18" s="123">
        <f>CHOOSE(BA18+1,HSV+PSV,HSV+PSV+Mont,HSV+PSV+Dodavka+Mont,HSV,PSV,Mont,Dodavka,Mont+Dodavka,0)</f>
        <v>0</v>
      </c>
      <c r="H18" s="124"/>
      <c r="I18" s="125">
        <f>E18+F18*G18/100</f>
        <v>0</v>
      </c>
      <c r="BA18">
        <v>8</v>
      </c>
    </row>
    <row r="19" spans="1:53" ht="13.8" thickBot="1" x14ac:dyDescent="0.3">
      <c r="A19" s="126"/>
      <c r="B19" s="127" t="s">
        <v>64</v>
      </c>
      <c r="C19" s="128"/>
      <c r="D19" s="129"/>
      <c r="E19" s="130"/>
      <c r="F19" s="131"/>
      <c r="G19" s="131"/>
      <c r="H19" s="509">
        <f>SUM(H18:H18)</f>
        <v>0</v>
      </c>
      <c r="I19" s="510"/>
    </row>
    <row r="21" spans="1:53" x14ac:dyDescent="0.25">
      <c r="B21" s="112"/>
      <c r="F21" s="132"/>
      <c r="G21" s="133"/>
      <c r="H21" s="133"/>
      <c r="I21" s="134"/>
    </row>
    <row r="22" spans="1:53" x14ac:dyDescent="0.25">
      <c r="F22" s="132"/>
      <c r="G22" s="133"/>
      <c r="H22" s="133"/>
      <c r="I22" s="134"/>
    </row>
    <row r="23" spans="1:53" x14ac:dyDescent="0.25">
      <c r="F23" s="132"/>
      <c r="G23" s="133"/>
      <c r="H23" s="133"/>
      <c r="I23" s="134"/>
    </row>
    <row r="24" spans="1:53" x14ac:dyDescent="0.25">
      <c r="F24" s="132"/>
      <c r="G24" s="133"/>
      <c r="H24" s="133"/>
      <c r="I24" s="134"/>
    </row>
    <row r="25" spans="1:53" x14ac:dyDescent="0.25">
      <c r="F25" s="132"/>
      <c r="G25" s="133"/>
      <c r="H25" s="133"/>
      <c r="I25" s="134"/>
    </row>
    <row r="26" spans="1:53" x14ac:dyDescent="0.25">
      <c r="F26" s="132"/>
      <c r="G26" s="133"/>
      <c r="H26" s="133"/>
      <c r="I26" s="134"/>
    </row>
    <row r="27" spans="1:53" x14ac:dyDescent="0.25">
      <c r="F27" s="132"/>
      <c r="G27" s="133"/>
      <c r="H27" s="133"/>
      <c r="I27" s="134"/>
    </row>
    <row r="28" spans="1:53" x14ac:dyDescent="0.25">
      <c r="F28" s="132"/>
      <c r="G28" s="133"/>
      <c r="H28" s="133"/>
      <c r="I28" s="134"/>
    </row>
    <row r="29" spans="1:53" x14ac:dyDescent="0.25">
      <c r="F29" s="132"/>
      <c r="G29" s="133"/>
      <c r="H29" s="133"/>
      <c r="I29" s="134"/>
    </row>
    <row r="30" spans="1:53" x14ac:dyDescent="0.25">
      <c r="F30" s="132"/>
      <c r="G30" s="133"/>
      <c r="H30" s="133"/>
      <c r="I30" s="134"/>
    </row>
    <row r="31" spans="1:53" x14ac:dyDescent="0.25">
      <c r="F31" s="132"/>
      <c r="G31" s="133"/>
      <c r="H31" s="133"/>
      <c r="I31" s="134"/>
    </row>
    <row r="32" spans="1:53" x14ac:dyDescent="0.25">
      <c r="F32" s="132"/>
      <c r="G32" s="133"/>
      <c r="H32" s="133"/>
      <c r="I32" s="134"/>
    </row>
    <row r="33" spans="6:9" x14ac:dyDescent="0.25">
      <c r="F33" s="132"/>
      <c r="G33" s="133"/>
      <c r="H33" s="133"/>
      <c r="I33" s="134"/>
    </row>
    <row r="34" spans="6:9" x14ac:dyDescent="0.25">
      <c r="F34" s="132"/>
      <c r="G34" s="133"/>
      <c r="H34" s="133"/>
      <c r="I34" s="134"/>
    </row>
    <row r="35" spans="6:9" x14ac:dyDescent="0.25">
      <c r="F35" s="132"/>
      <c r="G35" s="133"/>
      <c r="H35" s="133"/>
      <c r="I35" s="134"/>
    </row>
    <row r="36" spans="6:9" x14ac:dyDescent="0.25">
      <c r="F36" s="132"/>
      <c r="G36" s="133"/>
      <c r="H36" s="133"/>
      <c r="I36" s="134"/>
    </row>
    <row r="37" spans="6:9" x14ac:dyDescent="0.25">
      <c r="F37" s="132"/>
      <c r="G37" s="133"/>
      <c r="H37" s="133"/>
      <c r="I37" s="134"/>
    </row>
    <row r="38" spans="6:9" x14ac:dyDescent="0.25">
      <c r="F38" s="132"/>
      <c r="G38" s="133"/>
      <c r="H38" s="133"/>
      <c r="I38" s="134"/>
    </row>
    <row r="39" spans="6:9" x14ac:dyDescent="0.25">
      <c r="F39" s="132"/>
      <c r="G39" s="133"/>
      <c r="H39" s="133"/>
      <c r="I39" s="134"/>
    </row>
    <row r="40" spans="6:9" x14ac:dyDescent="0.25">
      <c r="F40" s="132"/>
      <c r="G40" s="133"/>
      <c r="H40" s="133"/>
      <c r="I40" s="134"/>
    </row>
    <row r="41" spans="6:9" x14ac:dyDescent="0.25">
      <c r="F41" s="132"/>
      <c r="G41" s="133"/>
      <c r="H41" s="133"/>
      <c r="I41" s="134"/>
    </row>
    <row r="42" spans="6:9" x14ac:dyDescent="0.25">
      <c r="F42" s="132"/>
      <c r="G42" s="133"/>
      <c r="H42" s="133"/>
      <c r="I42" s="134"/>
    </row>
    <row r="43" spans="6:9" x14ac:dyDescent="0.25">
      <c r="F43" s="132"/>
      <c r="G43" s="133"/>
      <c r="H43" s="133"/>
      <c r="I43" s="134"/>
    </row>
    <row r="44" spans="6:9" x14ac:dyDescent="0.25">
      <c r="F44" s="132"/>
      <c r="G44" s="133"/>
      <c r="H44" s="133"/>
      <c r="I44" s="134"/>
    </row>
    <row r="45" spans="6:9" x14ac:dyDescent="0.25">
      <c r="F45" s="132"/>
      <c r="G45" s="133"/>
      <c r="H45" s="133"/>
      <c r="I45" s="134"/>
    </row>
    <row r="46" spans="6:9" x14ac:dyDescent="0.25">
      <c r="F46" s="132"/>
      <c r="G46" s="133"/>
      <c r="H46" s="133"/>
      <c r="I46" s="134"/>
    </row>
    <row r="47" spans="6:9" x14ac:dyDescent="0.25">
      <c r="F47" s="132"/>
      <c r="G47" s="133"/>
      <c r="H47" s="133"/>
      <c r="I47" s="134"/>
    </row>
    <row r="48" spans="6:9" x14ac:dyDescent="0.25">
      <c r="F48" s="132"/>
      <c r="G48" s="133"/>
      <c r="H48" s="133"/>
      <c r="I48" s="134"/>
    </row>
    <row r="49" spans="6:9" x14ac:dyDescent="0.25">
      <c r="F49" s="132"/>
      <c r="G49" s="133"/>
      <c r="H49" s="133"/>
      <c r="I49" s="134"/>
    </row>
    <row r="50" spans="6:9" x14ac:dyDescent="0.25">
      <c r="F50" s="132"/>
      <c r="G50" s="133"/>
      <c r="H50" s="133"/>
      <c r="I50" s="134"/>
    </row>
    <row r="51" spans="6:9" x14ac:dyDescent="0.25">
      <c r="F51" s="132"/>
      <c r="G51" s="133"/>
      <c r="H51" s="133"/>
      <c r="I51" s="134"/>
    </row>
    <row r="52" spans="6:9" x14ac:dyDescent="0.25">
      <c r="F52" s="132"/>
      <c r="G52" s="133"/>
      <c r="H52" s="133"/>
      <c r="I52" s="134"/>
    </row>
    <row r="53" spans="6:9" x14ac:dyDescent="0.25">
      <c r="F53" s="132"/>
      <c r="G53" s="133"/>
      <c r="H53" s="133"/>
      <c r="I53" s="134"/>
    </row>
    <row r="54" spans="6:9" x14ac:dyDescent="0.25">
      <c r="F54" s="132"/>
      <c r="G54" s="133"/>
      <c r="H54" s="133"/>
      <c r="I54" s="134"/>
    </row>
    <row r="55" spans="6:9" x14ac:dyDescent="0.25">
      <c r="F55" s="132"/>
      <c r="G55" s="133"/>
      <c r="H55" s="133"/>
      <c r="I55" s="134"/>
    </row>
    <row r="56" spans="6:9" x14ac:dyDescent="0.25">
      <c r="F56" s="132"/>
      <c r="G56" s="133"/>
      <c r="H56" s="133"/>
      <c r="I56" s="134"/>
    </row>
    <row r="57" spans="6:9" x14ac:dyDescent="0.25">
      <c r="F57" s="132"/>
      <c r="G57" s="133"/>
      <c r="H57" s="133"/>
      <c r="I57" s="134"/>
    </row>
    <row r="58" spans="6:9" x14ac:dyDescent="0.25">
      <c r="F58" s="132"/>
      <c r="G58" s="133"/>
      <c r="H58" s="133"/>
      <c r="I58" s="134"/>
    </row>
    <row r="59" spans="6:9" x14ac:dyDescent="0.25">
      <c r="F59" s="132"/>
      <c r="G59" s="133"/>
      <c r="H59" s="133"/>
      <c r="I59" s="134"/>
    </row>
    <row r="60" spans="6:9" x14ac:dyDescent="0.25">
      <c r="F60" s="132"/>
      <c r="G60" s="133"/>
      <c r="H60" s="133"/>
      <c r="I60" s="134"/>
    </row>
    <row r="61" spans="6:9" x14ac:dyDescent="0.25">
      <c r="F61" s="132"/>
      <c r="G61" s="133"/>
      <c r="H61" s="133"/>
      <c r="I61" s="134"/>
    </row>
    <row r="62" spans="6:9" x14ac:dyDescent="0.25">
      <c r="F62" s="132"/>
      <c r="G62" s="133"/>
      <c r="H62" s="133"/>
      <c r="I62" s="134"/>
    </row>
    <row r="63" spans="6:9" x14ac:dyDescent="0.25">
      <c r="F63" s="132"/>
      <c r="G63" s="133"/>
      <c r="H63" s="133"/>
      <c r="I63" s="134"/>
    </row>
    <row r="64" spans="6:9" x14ac:dyDescent="0.25">
      <c r="F64" s="132"/>
      <c r="G64" s="133"/>
      <c r="H64" s="133"/>
      <c r="I64" s="134"/>
    </row>
    <row r="65" spans="6:9" x14ac:dyDescent="0.25">
      <c r="F65" s="132"/>
      <c r="G65" s="133"/>
      <c r="H65" s="133"/>
      <c r="I65" s="134"/>
    </row>
    <row r="66" spans="6:9" x14ac:dyDescent="0.25">
      <c r="F66" s="132"/>
      <c r="G66" s="133"/>
      <c r="H66" s="133"/>
      <c r="I66" s="134"/>
    </row>
    <row r="67" spans="6:9" x14ac:dyDescent="0.25">
      <c r="F67" s="132"/>
      <c r="G67" s="133"/>
      <c r="H67" s="133"/>
      <c r="I67" s="134"/>
    </row>
    <row r="68" spans="6:9" x14ac:dyDescent="0.25">
      <c r="F68" s="132"/>
      <c r="G68" s="133"/>
      <c r="H68" s="133"/>
      <c r="I68" s="134"/>
    </row>
    <row r="69" spans="6:9" x14ac:dyDescent="0.25">
      <c r="F69" s="132"/>
      <c r="G69" s="133"/>
      <c r="H69" s="133"/>
      <c r="I69" s="134"/>
    </row>
    <row r="70" spans="6:9" x14ac:dyDescent="0.25">
      <c r="F70" s="132"/>
      <c r="G70" s="133"/>
      <c r="H70" s="133"/>
      <c r="I70" s="134"/>
    </row>
  </sheetData>
  <mergeCells count="5">
    <mergeCell ref="A1:B1"/>
    <mergeCell ref="A2:B2"/>
    <mergeCell ref="G2:I2"/>
    <mergeCell ref="H19:I19"/>
    <mergeCell ref="C1:F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646"/>
  <sheetViews>
    <sheetView tabSelected="1" zoomScaleNormal="100" workbookViewId="0">
      <selection activeCell="J18" sqref="J18"/>
    </sheetView>
  </sheetViews>
  <sheetFormatPr defaultColWidth="9.109375" defaultRowHeight="13.2" x14ac:dyDescent="0.25"/>
  <cols>
    <col min="1" max="1" width="10.88671875" style="236" bestFit="1" customWidth="1"/>
    <col min="2" max="2" width="54.44140625" style="162" customWidth="1"/>
    <col min="3" max="3" width="5.33203125" style="162" bestFit="1" customWidth="1"/>
    <col min="4" max="4" width="8" style="180" customWidth="1"/>
    <col min="5" max="5" width="9" style="181" bestFit="1" customWidth="1"/>
    <col min="6" max="6" width="9.44140625" style="184" customWidth="1"/>
    <col min="7" max="7" width="10.33203125" style="184" bestFit="1" customWidth="1"/>
    <col min="8" max="8" width="10.44140625" style="184" customWidth="1"/>
    <col min="9" max="9" width="9.44140625" style="184" bestFit="1" customWidth="1"/>
    <col min="10" max="10" width="24.44140625" style="267" customWidth="1"/>
    <col min="11" max="11" width="10.6640625" style="267" bestFit="1" customWidth="1"/>
    <col min="12" max="12" width="10.5546875" style="249" bestFit="1" customWidth="1"/>
    <col min="13" max="16384" width="9.109375" style="249"/>
  </cols>
  <sheetData>
    <row r="1" spans="1:11" ht="14.4" thickTop="1" x14ac:dyDescent="0.25">
      <c r="A1" s="363"/>
      <c r="B1" s="178" t="str">
        <f>CONCATENATE(cislostavby," ",nazevstavby)</f>
        <v>2018 Renovace výsadeb a parkové kompozice  - PRVNÍ ETAPA</v>
      </c>
      <c r="C1" s="163"/>
      <c r="D1" s="179" t="s">
        <v>65</v>
      </c>
      <c r="E1" s="183" t="str">
        <f>Rekapitulace!H1</f>
        <v>02/2018</v>
      </c>
      <c r="F1" s="362"/>
      <c r="G1" s="364"/>
      <c r="H1" s="365"/>
      <c r="I1" s="187"/>
    </row>
    <row r="2" spans="1:11" ht="14.4" thickBot="1" x14ac:dyDescent="0.3">
      <c r="A2" s="366"/>
      <c r="B2" s="164" t="str">
        <f>CONCATENATE(cisloobjektu," ",nazevobjektu)</f>
        <v>02 ČHMÚ v Praze - Komořanech</v>
      </c>
      <c r="C2" s="165"/>
      <c r="D2" s="514" t="str">
        <f>Rekapitulace!G2</f>
        <v>Renovace výsadeb ČHMU Komořany</v>
      </c>
      <c r="E2" s="515"/>
      <c r="F2" s="515"/>
      <c r="G2" s="367"/>
      <c r="H2" s="368"/>
      <c r="I2" s="279"/>
    </row>
    <row r="3" spans="1:11" ht="14.4" thickTop="1" thickBot="1" x14ac:dyDescent="0.3">
      <c r="G3" s="211"/>
      <c r="H3" s="268"/>
    </row>
    <row r="4" spans="1:11" s="247" customFormat="1" ht="21" thickBot="1" x14ac:dyDescent="0.3">
      <c r="A4" s="307" t="s">
        <v>66</v>
      </c>
      <c r="B4" s="308" t="s">
        <v>67</v>
      </c>
      <c r="C4" s="309" t="s">
        <v>68</v>
      </c>
      <c r="D4" s="310" t="s">
        <v>69</v>
      </c>
      <c r="E4" s="310" t="s">
        <v>70</v>
      </c>
      <c r="F4" s="311" t="s">
        <v>71</v>
      </c>
      <c r="G4" s="380" t="s">
        <v>104</v>
      </c>
      <c r="H4" s="381" t="s">
        <v>462</v>
      </c>
      <c r="I4" s="311" t="s">
        <v>461</v>
      </c>
      <c r="J4" s="421" t="s">
        <v>85</v>
      </c>
      <c r="K4" s="369"/>
    </row>
    <row r="5" spans="1:11" ht="13.8" thickBot="1" x14ac:dyDescent="0.3">
      <c r="A5" s="225"/>
      <c r="B5" s="391" t="s">
        <v>161</v>
      </c>
      <c r="C5" s="225"/>
      <c r="D5" s="390"/>
      <c r="E5" s="390"/>
      <c r="F5" s="266"/>
      <c r="G5" s="392"/>
      <c r="H5" s="392"/>
      <c r="I5" s="268">
        <f>I377</f>
        <v>0</v>
      </c>
    </row>
    <row r="6" spans="1:11" ht="13.8" thickBot="1" x14ac:dyDescent="0.3">
      <c r="A6" s="191"/>
      <c r="B6" s="192" t="s">
        <v>107</v>
      </c>
      <c r="C6" s="193"/>
      <c r="D6" s="194"/>
      <c r="E6" s="194"/>
      <c r="F6" s="195"/>
      <c r="G6" s="283"/>
      <c r="H6" s="283"/>
      <c r="I6" s="318">
        <f>SUM(F7:F25)</f>
        <v>0</v>
      </c>
    </row>
    <row r="7" spans="1:11" x14ac:dyDescent="0.25">
      <c r="A7" s="241" t="s">
        <v>85</v>
      </c>
      <c r="B7" s="209" t="s">
        <v>179</v>
      </c>
      <c r="C7" s="205" t="s">
        <v>72</v>
      </c>
      <c r="D7" s="189">
        <v>1</v>
      </c>
      <c r="E7" s="189"/>
      <c r="F7" s="190"/>
      <c r="G7" s="282"/>
      <c r="H7" s="282"/>
      <c r="I7" s="187"/>
    </row>
    <row r="8" spans="1:11" x14ac:dyDescent="0.25">
      <c r="A8" s="237" t="s">
        <v>85</v>
      </c>
      <c r="B8" s="156" t="s">
        <v>163</v>
      </c>
      <c r="C8" s="159" t="s">
        <v>75</v>
      </c>
      <c r="D8" s="158">
        <v>187</v>
      </c>
      <c r="E8" s="158"/>
      <c r="F8" s="185"/>
      <c r="G8" s="269"/>
      <c r="H8" s="269"/>
      <c r="I8" s="187"/>
    </row>
    <row r="9" spans="1:11" x14ac:dyDescent="0.25">
      <c r="A9" s="237" t="s">
        <v>85</v>
      </c>
      <c r="B9" s="156" t="s">
        <v>164</v>
      </c>
      <c r="C9" s="159" t="s">
        <v>72</v>
      </c>
      <c r="D9" s="158">
        <v>5</v>
      </c>
      <c r="E9" s="158"/>
      <c r="F9" s="185"/>
      <c r="G9" s="269"/>
      <c r="H9" s="269"/>
      <c r="I9" s="187"/>
    </row>
    <row r="10" spans="1:11" x14ac:dyDescent="0.25">
      <c r="A10" s="237" t="s">
        <v>85</v>
      </c>
      <c r="B10" s="156" t="s">
        <v>165</v>
      </c>
      <c r="C10" s="159" t="s">
        <v>75</v>
      </c>
      <c r="D10" s="158">
        <v>53.7</v>
      </c>
      <c r="E10" s="158"/>
      <c r="F10" s="185"/>
      <c r="G10" s="269"/>
      <c r="H10" s="269"/>
      <c r="I10" s="187"/>
    </row>
    <row r="11" spans="1:11" x14ac:dyDescent="0.25">
      <c r="A11" s="237" t="s">
        <v>85</v>
      </c>
      <c r="B11" s="156" t="s">
        <v>166</v>
      </c>
      <c r="C11" s="159" t="s">
        <v>72</v>
      </c>
      <c r="D11" s="158">
        <v>5</v>
      </c>
      <c r="E11" s="158"/>
      <c r="F11" s="185"/>
      <c r="G11" s="269"/>
      <c r="H11" s="269"/>
      <c r="I11" s="187"/>
    </row>
    <row r="12" spans="1:11" ht="20.399999999999999" x14ac:dyDescent="0.25">
      <c r="A12" s="237" t="s">
        <v>108</v>
      </c>
      <c r="B12" s="156" t="s">
        <v>162</v>
      </c>
      <c r="C12" s="159" t="s">
        <v>72</v>
      </c>
      <c r="D12" s="158">
        <v>1</v>
      </c>
      <c r="E12" s="158"/>
      <c r="F12" s="185"/>
      <c r="G12" s="269"/>
      <c r="H12" s="269"/>
      <c r="I12" s="187"/>
    </row>
    <row r="13" spans="1:11" x14ac:dyDescent="0.25">
      <c r="A13" s="237" t="s">
        <v>178</v>
      </c>
      <c r="B13" s="156" t="s">
        <v>167</v>
      </c>
      <c r="C13" s="159" t="s">
        <v>72</v>
      </c>
      <c r="D13" s="158">
        <v>1</v>
      </c>
      <c r="E13" s="158"/>
      <c r="F13" s="185"/>
      <c r="G13" s="269"/>
      <c r="H13" s="269"/>
      <c r="I13" s="187"/>
    </row>
    <row r="14" spans="1:11" x14ac:dyDescent="0.25">
      <c r="A14" s="237" t="s">
        <v>135</v>
      </c>
      <c r="B14" s="156" t="s">
        <v>136</v>
      </c>
      <c r="C14" s="159" t="s">
        <v>72</v>
      </c>
      <c r="D14" s="158">
        <v>1</v>
      </c>
      <c r="E14" s="158"/>
      <c r="F14" s="185"/>
      <c r="G14" s="269"/>
      <c r="H14" s="269"/>
      <c r="I14" s="187"/>
    </row>
    <row r="15" spans="1:11" x14ac:dyDescent="0.25">
      <c r="A15" s="237" t="s">
        <v>82</v>
      </c>
      <c r="B15" s="156" t="s">
        <v>148</v>
      </c>
      <c r="C15" s="159" t="s">
        <v>76</v>
      </c>
      <c r="D15" s="158">
        <v>0.5</v>
      </c>
      <c r="E15" s="158"/>
      <c r="F15" s="185"/>
      <c r="G15" s="269">
        <v>0.6</v>
      </c>
      <c r="H15" s="269">
        <f>G15*D15</f>
        <v>0.3</v>
      </c>
      <c r="I15" s="187"/>
    </row>
    <row r="16" spans="1:11" ht="20.399999999999999" x14ac:dyDescent="0.25">
      <c r="A16" s="237" t="s">
        <v>110</v>
      </c>
      <c r="B16" s="156" t="s">
        <v>111</v>
      </c>
      <c r="C16" s="159" t="s">
        <v>75</v>
      </c>
      <c r="D16" s="158">
        <f>D8</f>
        <v>187</v>
      </c>
      <c r="E16" s="158"/>
      <c r="F16" s="185"/>
      <c r="G16" s="269"/>
      <c r="H16" s="269"/>
      <c r="I16" s="187"/>
    </row>
    <row r="17" spans="1:10" x14ac:dyDescent="0.25">
      <c r="A17" s="237"/>
      <c r="B17" s="157" t="s">
        <v>109</v>
      </c>
      <c r="C17" s="159"/>
      <c r="D17" s="158"/>
      <c r="E17" s="158"/>
      <c r="F17" s="185"/>
      <c r="G17" s="269"/>
      <c r="H17" s="269"/>
      <c r="I17" s="187"/>
    </row>
    <row r="18" spans="1:10" ht="120.75" customHeight="1" x14ac:dyDescent="0.25">
      <c r="A18" s="237" t="s">
        <v>177</v>
      </c>
      <c r="B18" s="156" t="s">
        <v>176</v>
      </c>
      <c r="C18" s="159" t="s">
        <v>72</v>
      </c>
      <c r="D18" s="158">
        <v>1</v>
      </c>
      <c r="E18" s="158"/>
      <c r="F18" s="185"/>
      <c r="G18" s="269"/>
      <c r="H18" s="269"/>
      <c r="I18" s="409"/>
      <c r="J18" s="420" t="s">
        <v>476</v>
      </c>
    </row>
    <row r="19" spans="1:10" ht="20.399999999999999" x14ac:dyDescent="0.25">
      <c r="A19" s="237" t="s">
        <v>112</v>
      </c>
      <c r="B19" s="156" t="s">
        <v>378</v>
      </c>
      <c r="C19" s="159" t="s">
        <v>72</v>
      </c>
      <c r="D19" s="158">
        <v>1</v>
      </c>
      <c r="E19" s="158"/>
      <c r="F19" s="185"/>
      <c r="G19" s="269"/>
      <c r="H19" s="269"/>
      <c r="I19" s="187"/>
    </row>
    <row r="20" spans="1:10" ht="20.399999999999999" x14ac:dyDescent="0.25">
      <c r="A20" s="237" t="s">
        <v>174</v>
      </c>
      <c r="B20" s="156" t="s">
        <v>379</v>
      </c>
      <c r="C20" s="159" t="s">
        <v>72</v>
      </c>
      <c r="D20" s="158">
        <v>2</v>
      </c>
      <c r="E20" s="158"/>
      <c r="F20" s="185"/>
      <c r="G20" s="269"/>
      <c r="H20" s="269"/>
      <c r="I20" s="187"/>
    </row>
    <row r="21" spans="1:10" ht="20.399999999999999" x14ac:dyDescent="0.25">
      <c r="A21" s="237" t="s">
        <v>175</v>
      </c>
      <c r="B21" s="156" t="s">
        <v>380</v>
      </c>
      <c r="C21" s="159" t="s">
        <v>72</v>
      </c>
      <c r="D21" s="158">
        <v>1</v>
      </c>
      <c r="E21" s="158"/>
      <c r="F21" s="185"/>
      <c r="G21" s="269"/>
      <c r="H21" s="269"/>
      <c r="I21" s="187"/>
    </row>
    <row r="22" spans="1:10" x14ac:dyDescent="0.25">
      <c r="A22" s="237" t="s">
        <v>113</v>
      </c>
      <c r="B22" s="156" t="s">
        <v>325</v>
      </c>
      <c r="C22" s="159" t="s">
        <v>137</v>
      </c>
      <c r="D22" s="158">
        <f>D10</f>
        <v>53.7</v>
      </c>
      <c r="E22" s="158"/>
      <c r="F22" s="185"/>
      <c r="G22" s="269"/>
      <c r="H22" s="269"/>
      <c r="I22" s="187"/>
    </row>
    <row r="23" spans="1:10" ht="20.399999999999999" x14ac:dyDescent="0.25">
      <c r="A23" s="237" t="s">
        <v>168</v>
      </c>
      <c r="B23" s="156" t="s">
        <v>169</v>
      </c>
      <c r="C23" s="159" t="s">
        <v>72</v>
      </c>
      <c r="D23" s="158">
        <v>5</v>
      </c>
      <c r="E23" s="158"/>
      <c r="F23" s="185"/>
      <c r="G23" s="269">
        <v>0.15</v>
      </c>
      <c r="H23" s="269">
        <f>G23*D23</f>
        <v>0.75</v>
      </c>
      <c r="I23" s="187"/>
    </row>
    <row r="24" spans="1:10" x14ac:dyDescent="0.25">
      <c r="A24" s="237" t="s">
        <v>82</v>
      </c>
      <c r="B24" s="156" t="s">
        <v>149</v>
      </c>
      <c r="C24" s="159" t="s">
        <v>76</v>
      </c>
      <c r="D24" s="173">
        <f>(D22*0.03)+((D16*0.03))</f>
        <v>7.2209999999999992</v>
      </c>
      <c r="E24" s="158"/>
      <c r="F24" s="185"/>
      <c r="G24" s="269">
        <v>0.5</v>
      </c>
      <c r="H24" s="269">
        <f>G24*D24</f>
        <v>3.6104999999999996</v>
      </c>
      <c r="I24" s="187"/>
    </row>
    <row r="25" spans="1:10" x14ac:dyDescent="0.25">
      <c r="A25" s="237" t="s">
        <v>100</v>
      </c>
      <c r="B25" s="156" t="s">
        <v>101</v>
      </c>
      <c r="C25" s="159" t="s">
        <v>77</v>
      </c>
      <c r="D25" s="158">
        <f>H25</f>
        <v>4.6604999999999999</v>
      </c>
      <c r="E25" s="158"/>
      <c r="F25" s="185"/>
      <c r="G25" s="269"/>
      <c r="H25" s="269">
        <f>SUM(H5:H24)</f>
        <v>4.6604999999999999</v>
      </c>
      <c r="I25" s="187"/>
    </row>
    <row r="26" spans="1:10" ht="13.8" thickBot="1" x14ac:dyDescent="0.3">
      <c r="A26" s="238" t="s">
        <v>73</v>
      </c>
      <c r="B26" s="172" t="str">
        <f>CONCATENATE(A6," ",B6)</f>
        <v xml:space="preserve"> Kácení a odstraňování dřevin</v>
      </c>
      <c r="C26" s="167"/>
      <c r="D26" s="173"/>
      <c r="E26" s="173"/>
      <c r="F26" s="186"/>
      <c r="G26" s="269"/>
      <c r="H26" s="269"/>
      <c r="I26" s="280"/>
    </row>
    <row r="27" spans="1:10" ht="13.8" thickBot="1" x14ac:dyDescent="0.3">
      <c r="A27" s="284"/>
      <c r="B27" s="192" t="s">
        <v>141</v>
      </c>
      <c r="C27" s="193"/>
      <c r="D27" s="194"/>
      <c r="E27" s="194"/>
      <c r="F27" s="195"/>
      <c r="G27" s="283"/>
      <c r="H27" s="283"/>
      <c r="I27" s="318">
        <f>SUM(F28:F54)</f>
        <v>0</v>
      </c>
    </row>
    <row r="28" spans="1:10" x14ac:dyDescent="0.25">
      <c r="A28" s="241" t="s">
        <v>85</v>
      </c>
      <c r="B28" s="209" t="s">
        <v>150</v>
      </c>
      <c r="C28" s="205" t="s">
        <v>75</v>
      </c>
      <c r="D28" s="399">
        <f>SUM(D29:D31)</f>
        <v>1029</v>
      </c>
      <c r="E28" s="379"/>
      <c r="F28" s="190"/>
      <c r="G28" s="282"/>
      <c r="H28" s="282"/>
      <c r="I28" s="187"/>
    </row>
    <row r="29" spans="1:10" x14ac:dyDescent="0.25">
      <c r="A29" s="237" t="s">
        <v>85</v>
      </c>
      <c r="B29" s="156" t="s">
        <v>189</v>
      </c>
      <c r="C29" s="159" t="s">
        <v>75</v>
      </c>
      <c r="D29" s="168">
        <v>694</v>
      </c>
      <c r="E29" s="158"/>
      <c r="F29" s="185"/>
      <c r="G29" s="269"/>
      <c r="H29" s="269"/>
      <c r="I29" s="187"/>
    </row>
    <row r="30" spans="1:10" x14ac:dyDescent="0.25">
      <c r="A30" s="237" t="s">
        <v>85</v>
      </c>
      <c r="B30" s="156" t="s">
        <v>190</v>
      </c>
      <c r="C30" s="159" t="s">
        <v>75</v>
      </c>
      <c r="D30" s="168">
        <f>315</f>
        <v>315</v>
      </c>
      <c r="E30" s="158"/>
      <c r="F30" s="185"/>
      <c r="G30" s="269"/>
      <c r="H30" s="269"/>
      <c r="I30" s="187"/>
    </row>
    <row r="31" spans="1:10" x14ac:dyDescent="0.25">
      <c r="A31" s="237" t="s">
        <v>85</v>
      </c>
      <c r="B31" s="156" t="s">
        <v>180</v>
      </c>
      <c r="C31" s="159" t="s">
        <v>75</v>
      </c>
      <c r="D31" s="168">
        <v>20</v>
      </c>
      <c r="E31" s="158"/>
      <c r="F31" s="185"/>
      <c r="G31" s="269"/>
      <c r="H31" s="269"/>
      <c r="I31" s="187"/>
    </row>
    <row r="32" spans="1:10" x14ac:dyDescent="0.25">
      <c r="A32" s="237" t="s">
        <v>85</v>
      </c>
      <c r="B32" s="156"/>
      <c r="C32" s="159"/>
      <c r="D32" s="168"/>
      <c r="E32" s="158"/>
      <c r="F32" s="185"/>
      <c r="G32" s="269"/>
      <c r="H32" s="269"/>
      <c r="I32" s="187"/>
    </row>
    <row r="33" spans="1:11" x14ac:dyDescent="0.25">
      <c r="A33" s="237" t="s">
        <v>85</v>
      </c>
      <c r="B33" s="156" t="s">
        <v>181</v>
      </c>
      <c r="C33" s="159" t="s">
        <v>75</v>
      </c>
      <c r="D33" s="168"/>
      <c r="E33" s="168"/>
      <c r="F33" s="185"/>
      <c r="G33" s="269"/>
      <c r="H33" s="269"/>
      <c r="I33" s="187"/>
    </row>
    <row r="34" spans="1:11" x14ac:dyDescent="0.25">
      <c r="A34" s="237" t="s">
        <v>85</v>
      </c>
      <c r="B34" s="156" t="s">
        <v>182</v>
      </c>
      <c r="C34" s="159" t="s">
        <v>75</v>
      </c>
      <c r="D34" s="168"/>
      <c r="E34" s="168"/>
      <c r="F34" s="185"/>
      <c r="G34" s="269"/>
      <c r="H34" s="269"/>
      <c r="I34" s="187"/>
    </row>
    <row r="35" spans="1:11" x14ac:dyDescent="0.25">
      <c r="A35" s="237" t="s">
        <v>85</v>
      </c>
      <c r="B35" s="156" t="s">
        <v>183</v>
      </c>
      <c r="C35" s="159" t="s">
        <v>75</v>
      </c>
      <c r="D35" s="168"/>
      <c r="E35" s="168"/>
      <c r="F35" s="185"/>
      <c r="G35" s="269"/>
      <c r="H35" s="269"/>
      <c r="I35" s="187"/>
    </row>
    <row r="36" spans="1:11" x14ac:dyDescent="0.25">
      <c r="A36" s="237" t="s">
        <v>85</v>
      </c>
      <c r="B36" s="156" t="s">
        <v>184</v>
      </c>
      <c r="C36" s="159" t="s">
        <v>75</v>
      </c>
      <c r="D36" s="168"/>
      <c r="E36" s="168"/>
      <c r="F36" s="185"/>
      <c r="G36" s="269"/>
      <c r="H36" s="269"/>
      <c r="I36" s="187"/>
    </row>
    <row r="37" spans="1:11" x14ac:dyDescent="0.25">
      <c r="A37" s="237" t="s">
        <v>85</v>
      </c>
      <c r="B37" s="156" t="s">
        <v>185</v>
      </c>
      <c r="C37" s="159" t="s">
        <v>75</v>
      </c>
      <c r="D37" s="168"/>
      <c r="E37" s="168"/>
      <c r="F37" s="185"/>
      <c r="G37" s="269"/>
      <c r="H37" s="269"/>
      <c r="I37" s="187"/>
    </row>
    <row r="38" spans="1:11" x14ac:dyDescent="0.25">
      <c r="A38" s="237" t="s">
        <v>85</v>
      </c>
      <c r="B38" s="156" t="s">
        <v>186</v>
      </c>
      <c r="C38" s="159" t="s">
        <v>75</v>
      </c>
      <c r="D38" s="168"/>
      <c r="E38" s="168"/>
      <c r="F38" s="185"/>
      <c r="G38" s="269"/>
      <c r="H38" s="269"/>
      <c r="I38" s="187"/>
    </row>
    <row r="39" spans="1:11" x14ac:dyDescent="0.25">
      <c r="A39" s="237" t="s">
        <v>85</v>
      </c>
      <c r="B39" s="156" t="s">
        <v>359</v>
      </c>
      <c r="C39" s="159" t="s">
        <v>75</v>
      </c>
      <c r="D39" s="168"/>
      <c r="E39" s="168"/>
      <c r="F39" s="185"/>
      <c r="G39" s="269"/>
      <c r="H39" s="269"/>
      <c r="I39" s="187"/>
      <c r="J39" s="249"/>
      <c r="K39" s="249"/>
    </row>
    <row r="40" spans="1:11" x14ac:dyDescent="0.25">
      <c r="A40" s="237" t="s">
        <v>85</v>
      </c>
      <c r="B40" s="156" t="s">
        <v>188</v>
      </c>
      <c r="C40" s="159" t="s">
        <v>75</v>
      </c>
      <c r="D40" s="168"/>
      <c r="E40" s="168"/>
      <c r="F40" s="185"/>
      <c r="G40" s="269"/>
      <c r="H40" s="269"/>
      <c r="I40" s="187"/>
    </row>
    <row r="41" spans="1:11" x14ac:dyDescent="0.25">
      <c r="A41" s="237"/>
      <c r="B41" s="156"/>
      <c r="C41" s="159"/>
      <c r="D41" s="168"/>
      <c r="E41" s="168"/>
      <c r="F41" s="185"/>
      <c r="G41" s="269"/>
      <c r="H41" s="269"/>
      <c r="I41" s="187"/>
    </row>
    <row r="42" spans="1:11" x14ac:dyDescent="0.25">
      <c r="A42" s="237"/>
      <c r="B42" s="156" t="s">
        <v>115</v>
      </c>
      <c r="C42" s="159" t="s">
        <v>75</v>
      </c>
      <c r="D42" s="158">
        <f>D28</f>
        <v>1029</v>
      </c>
      <c r="E42" s="158"/>
      <c r="F42" s="185"/>
      <c r="G42" s="269"/>
      <c r="H42" s="269"/>
      <c r="I42" s="187"/>
    </row>
    <row r="43" spans="1:11" x14ac:dyDescent="0.25">
      <c r="A43" s="237" t="s">
        <v>79</v>
      </c>
      <c r="B43" s="156" t="s">
        <v>151</v>
      </c>
      <c r="C43" s="159" t="s">
        <v>75</v>
      </c>
      <c r="D43" s="158">
        <f>D42</f>
        <v>1029</v>
      </c>
      <c r="E43" s="158"/>
      <c r="F43" s="185"/>
      <c r="G43" s="269"/>
      <c r="H43" s="269"/>
      <c r="I43" s="187"/>
    </row>
    <row r="44" spans="1:11" x14ac:dyDescent="0.25">
      <c r="A44" s="237" t="s">
        <v>138</v>
      </c>
      <c r="B44" s="156" t="s">
        <v>300</v>
      </c>
      <c r="C44" s="159" t="s">
        <v>75</v>
      </c>
      <c r="D44" s="158">
        <f>D42/3*2*2</f>
        <v>1372</v>
      </c>
      <c r="E44" s="158"/>
      <c r="F44" s="185"/>
      <c r="G44" s="269"/>
      <c r="H44" s="269"/>
      <c r="I44" s="187"/>
    </row>
    <row r="45" spans="1:11" x14ac:dyDescent="0.25">
      <c r="A45" s="237" t="s">
        <v>86</v>
      </c>
      <c r="B45" s="156" t="s">
        <v>119</v>
      </c>
      <c r="C45" s="159" t="s">
        <v>106</v>
      </c>
      <c r="D45" s="158">
        <f>(D44/100)*0.2</f>
        <v>2.7440000000000002</v>
      </c>
      <c r="E45" s="158"/>
      <c r="F45" s="185"/>
      <c r="G45" s="269"/>
      <c r="H45" s="269"/>
      <c r="I45" s="187"/>
    </row>
    <row r="46" spans="1:11" x14ac:dyDescent="0.25">
      <c r="A46" s="237" t="s">
        <v>85</v>
      </c>
      <c r="B46" s="156" t="s">
        <v>116</v>
      </c>
      <c r="C46" s="159"/>
      <c r="D46" s="158"/>
      <c r="E46" s="158"/>
      <c r="F46" s="185"/>
      <c r="G46" s="269"/>
      <c r="H46" s="269"/>
      <c r="I46" s="187"/>
    </row>
    <row r="47" spans="1:11" x14ac:dyDescent="0.25">
      <c r="A47" s="237" t="s">
        <v>82</v>
      </c>
      <c r="B47" s="156" t="s">
        <v>320</v>
      </c>
      <c r="C47" s="159" t="s">
        <v>76</v>
      </c>
      <c r="D47" s="158">
        <f>D42/2*0.03</f>
        <v>15.434999999999999</v>
      </c>
      <c r="E47" s="158"/>
      <c r="F47" s="185"/>
      <c r="G47" s="269">
        <v>0.8</v>
      </c>
      <c r="H47" s="269">
        <f>G47*D47</f>
        <v>12.347999999999999</v>
      </c>
      <c r="I47" s="187"/>
    </row>
    <row r="48" spans="1:11" x14ac:dyDescent="0.25">
      <c r="A48" s="237" t="s">
        <v>83</v>
      </c>
      <c r="B48" s="156" t="s">
        <v>84</v>
      </c>
      <c r="C48" s="159" t="s">
        <v>75</v>
      </c>
      <c r="D48" s="158">
        <f>D42*0.5</f>
        <v>514.5</v>
      </c>
      <c r="E48" s="158"/>
      <c r="F48" s="185"/>
      <c r="G48" s="269"/>
      <c r="H48" s="269"/>
      <c r="I48" s="187"/>
    </row>
    <row r="49" spans="1:11" x14ac:dyDescent="0.25">
      <c r="A49" s="237" t="s">
        <v>85</v>
      </c>
      <c r="B49" s="157" t="s">
        <v>134</v>
      </c>
      <c r="C49" s="159" t="s">
        <v>75</v>
      </c>
      <c r="D49" s="173">
        <f>SUM(E33:E39)</f>
        <v>0</v>
      </c>
      <c r="E49" s="158"/>
      <c r="F49" s="185"/>
      <c r="G49" s="269"/>
      <c r="H49" s="269"/>
      <c r="I49" s="187"/>
    </row>
    <row r="50" spans="1:11" ht="20.399999999999999" x14ac:dyDescent="0.25">
      <c r="A50" s="237" t="s">
        <v>118</v>
      </c>
      <c r="B50" s="156" t="s">
        <v>117</v>
      </c>
      <c r="C50" s="159" t="s">
        <v>75</v>
      </c>
      <c r="D50" s="158">
        <f>D30+D31</f>
        <v>335</v>
      </c>
      <c r="E50" s="158"/>
      <c r="F50" s="185"/>
      <c r="G50" s="269"/>
      <c r="H50" s="269"/>
      <c r="I50" s="187"/>
    </row>
    <row r="51" spans="1:11" x14ac:dyDescent="0.25">
      <c r="A51" s="237" t="s">
        <v>85</v>
      </c>
      <c r="B51" s="157" t="str">
        <f>B29</f>
        <v>JTÚ do 5 cm trávník</v>
      </c>
      <c r="C51" s="159" t="s">
        <v>75</v>
      </c>
      <c r="D51" s="173">
        <f>E40</f>
        <v>0</v>
      </c>
      <c r="E51" s="158"/>
      <c r="F51" s="185"/>
      <c r="G51" s="269"/>
      <c r="H51" s="269"/>
      <c r="I51" s="187"/>
    </row>
    <row r="52" spans="1:11" x14ac:dyDescent="0.25">
      <c r="A52" s="237" t="s">
        <v>191</v>
      </c>
      <c r="B52" s="156" t="s">
        <v>192</v>
      </c>
      <c r="C52" s="159" t="s">
        <v>75</v>
      </c>
      <c r="D52" s="158">
        <f>D51</f>
        <v>0</v>
      </c>
      <c r="E52" s="158"/>
      <c r="F52" s="185"/>
      <c r="G52" s="269"/>
      <c r="H52" s="269"/>
      <c r="I52" s="187"/>
    </row>
    <row r="53" spans="1:11" x14ac:dyDescent="0.25">
      <c r="A53" s="237" t="s">
        <v>85</v>
      </c>
      <c r="B53" s="156" t="s">
        <v>317</v>
      </c>
      <c r="C53" s="159"/>
      <c r="D53" s="158"/>
      <c r="E53" s="158"/>
      <c r="F53" s="185"/>
      <c r="G53" s="269"/>
      <c r="H53" s="269"/>
      <c r="I53" s="187"/>
    </row>
    <row r="54" spans="1:11" x14ac:dyDescent="0.25">
      <c r="A54" s="237" t="s">
        <v>100</v>
      </c>
      <c r="B54" s="156" t="s">
        <v>101</v>
      </c>
      <c r="C54" s="159" t="s">
        <v>77</v>
      </c>
      <c r="D54" s="158">
        <f>H54</f>
        <v>12.347999999999999</v>
      </c>
      <c r="E54" s="158"/>
      <c r="F54" s="185"/>
      <c r="G54" s="269"/>
      <c r="H54" s="269">
        <f>SUM(H28:H53)</f>
        <v>12.347999999999999</v>
      </c>
      <c r="I54" s="187"/>
    </row>
    <row r="55" spans="1:11" ht="13.8" thickBot="1" x14ac:dyDescent="0.3">
      <c r="A55" s="238" t="s">
        <v>73</v>
      </c>
      <c r="B55" s="172" t="str">
        <f>CONCATENATE(A27," ",B27)</f>
        <v xml:space="preserve"> Úprava terénu HTÚ</v>
      </c>
      <c r="C55" s="167"/>
      <c r="D55" s="173"/>
      <c r="E55" s="173"/>
      <c r="F55" s="186"/>
      <c r="G55" s="269"/>
      <c r="H55" s="269"/>
      <c r="I55" s="280"/>
    </row>
    <row r="56" spans="1:11" ht="13.8" thickBot="1" x14ac:dyDescent="0.3">
      <c r="A56" s="284"/>
      <c r="B56" s="192" t="s">
        <v>319</v>
      </c>
      <c r="C56" s="193"/>
      <c r="D56" s="194"/>
      <c r="E56" s="194"/>
      <c r="F56" s="195"/>
      <c r="G56" s="283"/>
      <c r="H56" s="283"/>
      <c r="I56" s="318"/>
    </row>
    <row r="57" spans="1:11" ht="13.8" thickBot="1" x14ac:dyDescent="0.3">
      <c r="A57" s="285"/>
      <c r="B57" s="286" t="s">
        <v>385</v>
      </c>
      <c r="C57" s="287"/>
      <c r="D57" s="288"/>
      <c r="E57" s="288"/>
      <c r="F57" s="289"/>
      <c r="G57" s="290"/>
      <c r="H57" s="290"/>
      <c r="I57" s="370">
        <f>SUM(F58:F90)</f>
        <v>0</v>
      </c>
    </row>
    <row r="58" spans="1:11" x14ac:dyDescent="0.25">
      <c r="A58" s="241" t="s">
        <v>86</v>
      </c>
      <c r="B58" s="372" t="s">
        <v>228</v>
      </c>
      <c r="C58" s="177" t="s">
        <v>194</v>
      </c>
      <c r="D58" s="189">
        <v>1</v>
      </c>
      <c r="E58" s="189"/>
      <c r="F58" s="190"/>
      <c r="G58" s="282">
        <v>0.28000000000000003</v>
      </c>
      <c r="H58" s="282">
        <f t="shared" ref="H58:H88" si="0">G58*D58</f>
        <v>0.28000000000000003</v>
      </c>
      <c r="I58" s="187"/>
    </row>
    <row r="59" spans="1:11" x14ac:dyDescent="0.25">
      <c r="A59" s="237" t="s">
        <v>86</v>
      </c>
      <c r="B59" s="373" t="s">
        <v>193</v>
      </c>
      <c r="C59" s="166" t="s">
        <v>194</v>
      </c>
      <c r="D59" s="158">
        <v>1</v>
      </c>
      <c r="E59" s="158"/>
      <c r="F59" s="190"/>
      <c r="G59" s="269">
        <v>0.28000000000000003</v>
      </c>
      <c r="H59" s="269">
        <f t="shared" si="0"/>
        <v>0.28000000000000003</v>
      </c>
      <c r="I59" s="187"/>
      <c r="J59" s="249"/>
      <c r="K59" s="249"/>
    </row>
    <row r="60" spans="1:11" x14ac:dyDescent="0.25">
      <c r="A60" s="237"/>
      <c r="B60" s="157" t="s">
        <v>326</v>
      </c>
      <c r="C60" s="159" t="s">
        <v>72</v>
      </c>
      <c r="D60" s="173">
        <f>SUM(D58:D59)</f>
        <v>2</v>
      </c>
      <c r="E60" s="158"/>
      <c r="F60" s="185"/>
      <c r="G60" s="269"/>
      <c r="H60" s="269"/>
      <c r="I60" s="187"/>
    </row>
    <row r="61" spans="1:11" x14ac:dyDescent="0.25">
      <c r="A61" s="237" t="s">
        <v>85</v>
      </c>
      <c r="B61" s="156" t="s">
        <v>402</v>
      </c>
      <c r="C61" s="159" t="s">
        <v>72</v>
      </c>
      <c r="D61" s="158">
        <f>D60</f>
        <v>2</v>
      </c>
      <c r="E61" s="158"/>
      <c r="F61" s="185"/>
      <c r="G61" s="269"/>
      <c r="H61" s="269"/>
      <c r="I61" s="187"/>
    </row>
    <row r="62" spans="1:11" x14ac:dyDescent="0.25">
      <c r="A62" s="237" t="s">
        <v>85</v>
      </c>
      <c r="B62" s="156" t="s">
        <v>327</v>
      </c>
      <c r="C62" s="159" t="s">
        <v>72</v>
      </c>
      <c r="D62" s="158">
        <f>D61</f>
        <v>2</v>
      </c>
      <c r="E62" s="158"/>
      <c r="F62" s="185"/>
      <c r="G62" s="269"/>
      <c r="H62" s="269"/>
      <c r="I62" s="187"/>
    </row>
    <row r="63" spans="1:11" x14ac:dyDescent="0.25">
      <c r="A63" s="237" t="s">
        <v>85</v>
      </c>
      <c r="B63" s="156" t="s">
        <v>328</v>
      </c>
      <c r="C63" s="159" t="s">
        <v>72</v>
      </c>
      <c r="D63" s="158">
        <f>D61</f>
        <v>2</v>
      </c>
      <c r="E63" s="158"/>
      <c r="F63" s="185"/>
      <c r="G63" s="269"/>
      <c r="H63" s="269"/>
      <c r="I63" s="187"/>
    </row>
    <row r="64" spans="1:11" x14ac:dyDescent="0.25">
      <c r="A64" s="237" t="s">
        <v>79</v>
      </c>
      <c r="B64" s="156" t="s">
        <v>329</v>
      </c>
      <c r="C64" s="159" t="s">
        <v>72</v>
      </c>
      <c r="D64" s="158">
        <v>0.5</v>
      </c>
      <c r="E64" s="158"/>
      <c r="F64" s="185"/>
      <c r="G64" s="269"/>
      <c r="H64" s="269"/>
      <c r="I64" s="187"/>
    </row>
    <row r="65" spans="1:9" x14ac:dyDescent="0.25">
      <c r="A65" s="237" t="s">
        <v>330</v>
      </c>
      <c r="B65" s="156" t="s">
        <v>331</v>
      </c>
      <c r="C65" s="159" t="s">
        <v>72</v>
      </c>
      <c r="D65" s="173">
        <f>D61</f>
        <v>2</v>
      </c>
      <c r="E65" s="158"/>
      <c r="F65" s="185"/>
      <c r="G65" s="269"/>
      <c r="H65" s="269"/>
      <c r="I65" s="187"/>
    </row>
    <row r="66" spans="1:9" x14ac:dyDescent="0.25">
      <c r="A66" s="237" t="s">
        <v>79</v>
      </c>
      <c r="B66" s="156" t="s">
        <v>332</v>
      </c>
      <c r="C66" s="159" t="s">
        <v>72</v>
      </c>
      <c r="D66" s="158">
        <f>D63</f>
        <v>2</v>
      </c>
      <c r="E66" s="158"/>
      <c r="F66" s="185"/>
      <c r="G66" s="269"/>
      <c r="H66" s="269"/>
      <c r="I66" s="187"/>
    </row>
    <row r="67" spans="1:9" ht="20.399999999999999" x14ac:dyDescent="0.25">
      <c r="A67" s="237" t="s">
        <v>333</v>
      </c>
      <c r="B67" s="156" t="s">
        <v>334</v>
      </c>
      <c r="C67" s="159" t="s">
        <v>72</v>
      </c>
      <c r="D67" s="158">
        <f>D61</f>
        <v>2</v>
      </c>
      <c r="E67" s="158"/>
      <c r="F67" s="185"/>
      <c r="G67" s="269"/>
      <c r="H67" s="269"/>
      <c r="I67" s="187"/>
    </row>
    <row r="68" spans="1:9" x14ac:dyDescent="0.25">
      <c r="A68" s="237" t="s">
        <v>85</v>
      </c>
      <c r="B68" s="156" t="s">
        <v>335</v>
      </c>
      <c r="C68" s="159"/>
      <c r="D68" s="158"/>
      <c r="E68" s="158"/>
      <c r="F68" s="185"/>
      <c r="G68" s="269"/>
      <c r="H68" s="269"/>
      <c r="I68" s="187"/>
    </row>
    <row r="69" spans="1:9" ht="20.399999999999999" x14ac:dyDescent="0.25">
      <c r="A69" s="237" t="s">
        <v>79</v>
      </c>
      <c r="B69" s="156" t="s">
        <v>475</v>
      </c>
      <c r="C69" s="159" t="s">
        <v>72</v>
      </c>
      <c r="D69" s="158">
        <f>D65</f>
        <v>2</v>
      </c>
      <c r="E69" s="158"/>
      <c r="F69" s="185"/>
      <c r="G69" s="269"/>
      <c r="H69" s="269"/>
      <c r="I69" s="187"/>
    </row>
    <row r="70" spans="1:9" x14ac:dyDescent="0.25">
      <c r="A70" s="237" t="s">
        <v>86</v>
      </c>
      <c r="B70" s="156" t="s">
        <v>348</v>
      </c>
      <c r="C70" s="159" t="s">
        <v>76</v>
      </c>
      <c r="D70" s="158">
        <f>D60*0.3</f>
        <v>0.6</v>
      </c>
      <c r="E70" s="158"/>
      <c r="F70" s="185"/>
      <c r="G70" s="269"/>
      <c r="H70" s="269"/>
      <c r="I70" s="187"/>
    </row>
    <row r="71" spans="1:9" x14ac:dyDescent="0.25">
      <c r="A71" s="237" t="s">
        <v>79</v>
      </c>
      <c r="B71" s="156" t="s">
        <v>336</v>
      </c>
      <c r="C71" s="159" t="s">
        <v>105</v>
      </c>
      <c r="D71" s="158">
        <f>(D61)*1.2</f>
        <v>2.4</v>
      </c>
      <c r="E71" s="158"/>
      <c r="F71" s="185"/>
      <c r="G71" s="269"/>
      <c r="H71" s="269"/>
      <c r="I71" s="187"/>
    </row>
    <row r="72" spans="1:9" ht="20.399999999999999" x14ac:dyDescent="0.25">
      <c r="A72" s="237" t="s">
        <v>337</v>
      </c>
      <c r="B72" s="156" t="s">
        <v>338</v>
      </c>
      <c r="C72" s="159" t="s">
        <v>72</v>
      </c>
      <c r="D72" s="158">
        <f>D67</f>
        <v>2</v>
      </c>
      <c r="E72" s="158"/>
      <c r="F72" s="185"/>
      <c r="G72" s="269"/>
      <c r="H72" s="269"/>
      <c r="I72" s="187"/>
    </row>
    <row r="73" spans="1:9" x14ac:dyDescent="0.25">
      <c r="A73" s="237" t="s">
        <v>339</v>
      </c>
      <c r="B73" s="156" t="s">
        <v>340</v>
      </c>
      <c r="C73" s="159" t="s">
        <v>72</v>
      </c>
      <c r="D73" s="158">
        <f>D61</f>
        <v>2</v>
      </c>
      <c r="E73" s="158"/>
      <c r="F73" s="185"/>
      <c r="G73" s="269"/>
      <c r="H73" s="269"/>
      <c r="I73" s="187"/>
    </row>
    <row r="74" spans="1:9" x14ac:dyDescent="0.25">
      <c r="A74" s="237" t="s">
        <v>86</v>
      </c>
      <c r="B74" s="156" t="s">
        <v>341</v>
      </c>
      <c r="C74" s="159" t="s">
        <v>72</v>
      </c>
      <c r="D74" s="158">
        <f>D60</f>
        <v>2</v>
      </c>
      <c r="E74" s="158"/>
      <c r="F74" s="185"/>
      <c r="G74" s="269">
        <v>3.0000000000000001E-3</v>
      </c>
      <c r="H74" s="269">
        <f t="shared" si="0"/>
        <v>6.0000000000000001E-3</v>
      </c>
      <c r="I74" s="187"/>
    </row>
    <row r="75" spans="1:9" ht="20.399999999999999" x14ac:dyDescent="0.25">
      <c r="A75" s="237" t="s">
        <v>342</v>
      </c>
      <c r="B75" s="176" t="s">
        <v>343</v>
      </c>
      <c r="C75" s="159" t="s">
        <v>72</v>
      </c>
      <c r="D75" s="158">
        <f>D62</f>
        <v>2</v>
      </c>
      <c r="E75" s="158"/>
      <c r="F75" s="185"/>
      <c r="G75" s="269"/>
      <c r="H75" s="269"/>
      <c r="I75" s="187"/>
    </row>
    <row r="76" spans="1:9" x14ac:dyDescent="0.25">
      <c r="A76" s="237" t="s">
        <v>86</v>
      </c>
      <c r="B76" s="156" t="s">
        <v>356</v>
      </c>
      <c r="C76" s="159" t="s">
        <v>72</v>
      </c>
      <c r="D76" s="158">
        <f>10*D65</f>
        <v>20</v>
      </c>
      <c r="E76" s="158"/>
      <c r="F76" s="185"/>
      <c r="G76" s="269"/>
      <c r="H76" s="269"/>
      <c r="I76" s="187"/>
    </row>
    <row r="77" spans="1:9" x14ac:dyDescent="0.25">
      <c r="A77" s="237" t="s">
        <v>95</v>
      </c>
      <c r="B77" s="156" t="s">
        <v>124</v>
      </c>
      <c r="C77" s="159" t="s">
        <v>77</v>
      </c>
      <c r="D77" s="388">
        <f>D76/100000</f>
        <v>2.0000000000000001E-4</v>
      </c>
      <c r="E77" s="158"/>
      <c r="F77" s="185"/>
      <c r="G77" s="269"/>
      <c r="H77" s="269">
        <f>D77</f>
        <v>2.0000000000000001E-4</v>
      </c>
      <c r="I77" s="187"/>
    </row>
    <row r="78" spans="1:9" x14ac:dyDescent="0.25">
      <c r="A78" s="237" t="s">
        <v>121</v>
      </c>
      <c r="B78" s="156" t="s">
        <v>147</v>
      </c>
      <c r="C78" s="159" t="s">
        <v>75</v>
      </c>
      <c r="D78" s="158">
        <f>D60*1.5</f>
        <v>3</v>
      </c>
      <c r="E78" s="158"/>
      <c r="F78" s="185"/>
      <c r="G78" s="269"/>
      <c r="H78" s="269"/>
      <c r="I78" s="187"/>
    </row>
    <row r="79" spans="1:9" x14ac:dyDescent="0.25">
      <c r="A79" s="237" t="s">
        <v>86</v>
      </c>
      <c r="B79" s="156" t="s">
        <v>344</v>
      </c>
      <c r="C79" s="159" t="s">
        <v>76</v>
      </c>
      <c r="D79" s="158">
        <f>D58*0.07*1.5*1.05</f>
        <v>0.11025000000000001</v>
      </c>
      <c r="E79" s="158"/>
      <c r="F79" s="185"/>
      <c r="G79" s="269">
        <v>0.7</v>
      </c>
      <c r="H79" s="269">
        <f t="shared" si="0"/>
        <v>7.7175000000000007E-2</v>
      </c>
      <c r="I79" s="187"/>
    </row>
    <row r="80" spans="1:9" x14ac:dyDescent="0.25">
      <c r="A80" s="237" t="s">
        <v>86</v>
      </c>
      <c r="B80" s="156" t="s">
        <v>345</v>
      </c>
      <c r="C80" s="159" t="s">
        <v>75</v>
      </c>
      <c r="D80" s="158">
        <f>(1.5*(28.4-6.4)*1.05)/55*D65</f>
        <v>1.26</v>
      </c>
      <c r="E80" s="158"/>
      <c r="F80" s="185"/>
      <c r="G80" s="270"/>
      <c r="H80" s="269"/>
      <c r="I80" s="187"/>
    </row>
    <row r="81" spans="1:11" s="408" customFormat="1" x14ac:dyDescent="0.25">
      <c r="A81" s="237" t="s">
        <v>346</v>
      </c>
      <c r="B81" s="156" t="s">
        <v>347</v>
      </c>
      <c r="C81" s="159" t="s">
        <v>75</v>
      </c>
      <c r="D81" s="158">
        <f>D80</f>
        <v>1.26</v>
      </c>
      <c r="E81" s="158"/>
      <c r="F81" s="185"/>
      <c r="G81" s="269"/>
      <c r="H81" s="269"/>
      <c r="I81" s="187"/>
      <c r="J81" s="267"/>
      <c r="K81" s="267"/>
    </row>
    <row r="82" spans="1:11" s="408" customFormat="1" x14ac:dyDescent="0.25">
      <c r="A82" s="237" t="s">
        <v>85</v>
      </c>
      <c r="B82" s="156" t="s">
        <v>472</v>
      </c>
      <c r="C82" s="159"/>
      <c r="D82" s="158"/>
      <c r="E82" s="158"/>
      <c r="F82" s="185"/>
      <c r="G82" s="269"/>
      <c r="H82" s="269"/>
      <c r="I82" s="187"/>
      <c r="J82" s="267"/>
      <c r="K82" s="267"/>
    </row>
    <row r="83" spans="1:11" s="408" customFormat="1" x14ac:dyDescent="0.25">
      <c r="A83" s="237" t="s">
        <v>86</v>
      </c>
      <c r="B83" s="156" t="s">
        <v>349</v>
      </c>
      <c r="C83" s="159" t="s">
        <v>76</v>
      </c>
      <c r="D83" s="158">
        <f>0.68*2</f>
        <v>1.36</v>
      </c>
      <c r="E83" s="158"/>
      <c r="F83" s="185"/>
      <c r="G83" s="269"/>
      <c r="H83" s="269"/>
      <c r="I83" s="187"/>
      <c r="J83" s="267"/>
      <c r="K83" s="267"/>
    </row>
    <row r="84" spans="1:11" s="408" customFormat="1" x14ac:dyDescent="0.25">
      <c r="A84" s="237" t="s">
        <v>86</v>
      </c>
      <c r="B84" s="156" t="s">
        <v>348</v>
      </c>
      <c r="C84" s="159" t="s">
        <v>76</v>
      </c>
      <c r="D84" s="158">
        <f>D83/2</f>
        <v>0.68</v>
      </c>
      <c r="E84" s="158"/>
      <c r="F84" s="185"/>
      <c r="G84" s="269">
        <v>1.4</v>
      </c>
      <c r="H84" s="269">
        <f t="shared" si="0"/>
        <v>0.95199999999999996</v>
      </c>
      <c r="I84" s="187"/>
      <c r="J84" s="267"/>
      <c r="K84" s="267"/>
    </row>
    <row r="85" spans="1:11" s="408" customFormat="1" ht="20.399999999999999" x14ac:dyDescent="0.25">
      <c r="A85" s="237" t="s">
        <v>85</v>
      </c>
      <c r="B85" s="156" t="s">
        <v>350</v>
      </c>
      <c r="C85" s="159" t="s">
        <v>76</v>
      </c>
      <c r="D85" s="182">
        <v>0.68</v>
      </c>
      <c r="E85" s="158"/>
      <c r="F85" s="185"/>
      <c r="G85" s="269"/>
      <c r="H85" s="269"/>
      <c r="I85" s="187"/>
      <c r="J85" s="267"/>
      <c r="K85" s="267"/>
    </row>
    <row r="86" spans="1:11" x14ac:dyDescent="0.25">
      <c r="A86" s="237" t="s">
        <v>86</v>
      </c>
      <c r="B86" s="156" t="s">
        <v>348</v>
      </c>
      <c r="C86" s="159" t="s">
        <v>76</v>
      </c>
      <c r="D86" s="158">
        <f>D85/4</f>
        <v>0.17</v>
      </c>
      <c r="E86" s="158"/>
      <c r="F86" s="185"/>
      <c r="G86" s="269">
        <v>1.4</v>
      </c>
      <c r="H86" s="269">
        <f t="shared" si="0"/>
        <v>0.23799999999999999</v>
      </c>
      <c r="I86" s="187"/>
    </row>
    <row r="87" spans="1:11" x14ac:dyDescent="0.25">
      <c r="A87" s="237" t="s">
        <v>86</v>
      </c>
      <c r="B87" s="156" t="s">
        <v>351</v>
      </c>
      <c r="C87" s="159" t="s">
        <v>76</v>
      </c>
      <c r="D87" s="158">
        <f>D85/4</f>
        <v>0.17</v>
      </c>
      <c r="E87" s="158"/>
      <c r="F87" s="185"/>
      <c r="G87" s="269"/>
      <c r="H87" s="269"/>
      <c r="I87" s="187"/>
    </row>
    <row r="88" spans="1:11" ht="20.399999999999999" x14ac:dyDescent="0.25">
      <c r="A88" s="237" t="s">
        <v>79</v>
      </c>
      <c r="B88" s="156" t="s">
        <v>352</v>
      </c>
      <c r="C88" s="159" t="s">
        <v>76</v>
      </c>
      <c r="D88" s="158">
        <f>D85+D83</f>
        <v>2.04</v>
      </c>
      <c r="E88" s="158"/>
      <c r="F88" s="185"/>
      <c r="G88" s="269">
        <v>1.2</v>
      </c>
      <c r="H88" s="269">
        <f t="shared" si="0"/>
        <v>2.448</v>
      </c>
      <c r="I88" s="187"/>
    </row>
    <row r="89" spans="1:11" x14ac:dyDescent="0.25">
      <c r="A89" s="237" t="s">
        <v>98</v>
      </c>
      <c r="B89" s="156" t="s">
        <v>353</v>
      </c>
      <c r="C89" s="159" t="s">
        <v>76</v>
      </c>
      <c r="D89" s="158">
        <f>D63*0.2</f>
        <v>0.4</v>
      </c>
      <c r="E89" s="158"/>
      <c r="F89" s="185"/>
      <c r="G89" s="269"/>
      <c r="H89" s="269"/>
      <c r="I89" s="187"/>
    </row>
    <row r="90" spans="1:11" ht="13.8" thickBot="1" x14ac:dyDescent="0.3">
      <c r="A90" s="237" t="s">
        <v>100</v>
      </c>
      <c r="B90" s="156" t="s">
        <v>101</v>
      </c>
      <c r="C90" s="159" t="s">
        <v>77</v>
      </c>
      <c r="D90" s="158">
        <f>H90</f>
        <v>4.2813749999999997</v>
      </c>
      <c r="E90" s="158"/>
      <c r="F90" s="185"/>
      <c r="G90" s="269"/>
      <c r="H90" s="269">
        <f>SUM(H58:H89)</f>
        <v>4.2813749999999997</v>
      </c>
      <c r="I90" s="187"/>
    </row>
    <row r="91" spans="1:11" ht="13.8" thickBot="1" x14ac:dyDescent="0.3">
      <c r="A91" s="291"/>
      <c r="B91" s="206" t="s">
        <v>185</v>
      </c>
      <c r="C91" s="207" t="s">
        <v>75</v>
      </c>
      <c r="D91" s="400">
        <v>31.6</v>
      </c>
      <c r="E91" s="194"/>
      <c r="F91" s="195"/>
      <c r="G91" s="283"/>
      <c r="H91" s="283"/>
      <c r="I91" s="318">
        <f>SUM(F92:F121)</f>
        <v>0</v>
      </c>
    </row>
    <row r="92" spans="1:11" x14ac:dyDescent="0.25">
      <c r="A92" s="241"/>
      <c r="B92" s="204" t="s">
        <v>160</v>
      </c>
      <c r="C92" s="205"/>
      <c r="D92" s="189"/>
      <c r="E92" s="189"/>
      <c r="F92" s="190"/>
      <c r="G92" s="282"/>
      <c r="H92" s="282"/>
      <c r="I92" s="187"/>
    </row>
    <row r="93" spans="1:11" x14ac:dyDescent="0.25">
      <c r="A93" s="237" t="s">
        <v>86</v>
      </c>
      <c r="B93" s="156" t="s">
        <v>195</v>
      </c>
      <c r="C93" s="159" t="s">
        <v>72</v>
      </c>
      <c r="D93" s="158">
        <v>10</v>
      </c>
      <c r="E93" s="158"/>
      <c r="F93" s="185"/>
      <c r="G93" s="269">
        <v>3.0000000000000001E-3</v>
      </c>
      <c r="H93" s="269">
        <f t="shared" ref="H93:H105" si="1">G93*D93</f>
        <v>0.03</v>
      </c>
      <c r="I93" s="187"/>
    </row>
    <row r="94" spans="1:11" x14ac:dyDescent="0.25">
      <c r="A94" s="237" t="s">
        <v>86</v>
      </c>
      <c r="B94" s="156" t="s">
        <v>469</v>
      </c>
      <c r="C94" s="159" t="s">
        <v>72</v>
      </c>
      <c r="D94" s="158">
        <v>2</v>
      </c>
      <c r="E94" s="158"/>
      <c r="F94" s="185"/>
      <c r="G94" s="269">
        <v>3.0000000000000001E-3</v>
      </c>
      <c r="H94" s="269">
        <f t="shared" si="1"/>
        <v>6.0000000000000001E-3</v>
      </c>
      <c r="I94" s="187"/>
    </row>
    <row r="95" spans="1:11" x14ac:dyDescent="0.25">
      <c r="A95" s="237" t="s">
        <v>86</v>
      </c>
      <c r="B95" s="156" t="s">
        <v>470</v>
      </c>
      <c r="C95" s="159" t="s">
        <v>72</v>
      </c>
      <c r="D95" s="158">
        <v>2</v>
      </c>
      <c r="E95" s="158"/>
      <c r="F95" s="185"/>
      <c r="G95" s="269">
        <v>3.0000000000000001E-3</v>
      </c>
      <c r="H95" s="269">
        <f t="shared" si="1"/>
        <v>6.0000000000000001E-3</v>
      </c>
      <c r="I95" s="187"/>
    </row>
    <row r="96" spans="1:11" x14ac:dyDescent="0.25">
      <c r="A96" s="237" t="s">
        <v>86</v>
      </c>
      <c r="B96" s="156" t="s">
        <v>471</v>
      </c>
      <c r="C96" s="159" t="s">
        <v>72</v>
      </c>
      <c r="D96" s="158">
        <v>2</v>
      </c>
      <c r="E96" s="158"/>
      <c r="F96" s="185"/>
      <c r="G96" s="269">
        <v>3.0000000000000001E-3</v>
      </c>
      <c r="H96" s="269">
        <f t="shared" si="1"/>
        <v>6.0000000000000001E-3</v>
      </c>
      <c r="I96" s="187"/>
    </row>
    <row r="97" spans="1:9" x14ac:dyDescent="0.25">
      <c r="A97" s="237" t="s">
        <v>86</v>
      </c>
      <c r="B97" s="156" t="s">
        <v>433</v>
      </c>
      <c r="C97" s="159" t="s">
        <v>72</v>
      </c>
      <c r="D97" s="158">
        <v>4</v>
      </c>
      <c r="E97" s="158"/>
      <c r="F97" s="185"/>
      <c r="G97" s="269">
        <v>3.0000000000000001E-3</v>
      </c>
      <c r="H97" s="269">
        <f t="shared" si="1"/>
        <v>1.2E-2</v>
      </c>
      <c r="I97" s="187"/>
    </row>
    <row r="98" spans="1:9" x14ac:dyDescent="0.25">
      <c r="A98" s="237"/>
      <c r="B98" s="157"/>
      <c r="C98" s="159" t="s">
        <v>72</v>
      </c>
      <c r="D98" s="173">
        <f>SUM(D93:D97)</f>
        <v>20</v>
      </c>
      <c r="E98" s="158"/>
      <c r="F98" s="185"/>
      <c r="G98" s="269"/>
      <c r="H98" s="269"/>
      <c r="I98" s="187"/>
    </row>
    <row r="99" spans="1:9" x14ac:dyDescent="0.25">
      <c r="A99" s="237"/>
      <c r="B99" s="157" t="s">
        <v>159</v>
      </c>
      <c r="C99" s="159"/>
      <c r="D99" s="158"/>
      <c r="E99" s="158"/>
      <c r="F99" s="185"/>
      <c r="G99" s="269"/>
      <c r="H99" s="269"/>
      <c r="I99" s="187"/>
    </row>
    <row r="100" spans="1:9" x14ac:dyDescent="0.25">
      <c r="A100" s="237" t="s">
        <v>86</v>
      </c>
      <c r="B100" s="156" t="s">
        <v>196</v>
      </c>
      <c r="C100" s="159" t="s">
        <v>72</v>
      </c>
      <c r="D100" s="158">
        <v>76</v>
      </c>
      <c r="E100" s="158"/>
      <c r="F100" s="185"/>
      <c r="G100" s="269">
        <v>5.0000000000000001E-4</v>
      </c>
      <c r="H100" s="269">
        <f t="shared" si="1"/>
        <v>3.7999999999999999E-2</v>
      </c>
      <c r="I100" s="187"/>
    </row>
    <row r="101" spans="1:9" x14ac:dyDescent="0.25">
      <c r="A101" s="237" t="s">
        <v>86</v>
      </c>
      <c r="B101" s="156" t="s">
        <v>197</v>
      </c>
      <c r="C101" s="159" t="s">
        <v>72</v>
      </c>
      <c r="D101" s="158">
        <v>78</v>
      </c>
      <c r="E101" s="158"/>
      <c r="F101" s="185"/>
      <c r="G101" s="269">
        <v>5.0000000000000001E-4</v>
      </c>
      <c r="H101" s="269">
        <f t="shared" si="1"/>
        <v>3.9E-2</v>
      </c>
      <c r="I101" s="187"/>
    </row>
    <row r="102" spans="1:9" x14ac:dyDescent="0.25">
      <c r="A102" s="237"/>
      <c r="B102" s="156"/>
      <c r="C102" s="159" t="s">
        <v>72</v>
      </c>
      <c r="D102" s="173">
        <f>SUM(D100:D101)</f>
        <v>154</v>
      </c>
      <c r="E102" s="158"/>
      <c r="F102" s="185"/>
      <c r="G102" s="269"/>
      <c r="H102" s="269"/>
      <c r="I102" s="187"/>
    </row>
    <row r="103" spans="1:9" x14ac:dyDescent="0.25">
      <c r="A103" s="237" t="s">
        <v>86</v>
      </c>
      <c r="B103" s="156" t="s">
        <v>123</v>
      </c>
      <c r="C103" s="159" t="s">
        <v>76</v>
      </c>
      <c r="D103" s="158">
        <f>1.4*1.05</f>
        <v>1.47</v>
      </c>
      <c r="E103" s="158"/>
      <c r="F103" s="185"/>
      <c r="G103" s="269">
        <v>1.5</v>
      </c>
      <c r="H103" s="269">
        <f t="shared" si="1"/>
        <v>2.2050000000000001</v>
      </c>
      <c r="I103" s="187"/>
    </row>
    <row r="104" spans="1:9" ht="20.399999999999999" x14ac:dyDescent="0.25">
      <c r="A104" s="237" t="s">
        <v>86</v>
      </c>
      <c r="B104" s="156" t="s">
        <v>144</v>
      </c>
      <c r="C104" s="159" t="s">
        <v>76</v>
      </c>
      <c r="D104" s="158">
        <f>1.05*1.4</f>
        <v>1.47</v>
      </c>
      <c r="E104" s="158"/>
      <c r="F104" s="185"/>
      <c r="G104" s="269">
        <v>1</v>
      </c>
      <c r="H104" s="269">
        <f t="shared" si="1"/>
        <v>1.47</v>
      </c>
      <c r="I104" s="187"/>
    </row>
    <row r="105" spans="1:9" x14ac:dyDescent="0.25">
      <c r="A105" s="237" t="s">
        <v>86</v>
      </c>
      <c r="B105" s="156" t="s">
        <v>143</v>
      </c>
      <c r="C105" s="159" t="s">
        <v>76</v>
      </c>
      <c r="D105" s="158">
        <f>1.6*1.05</f>
        <v>1.6800000000000002</v>
      </c>
      <c r="E105" s="158"/>
      <c r="F105" s="185"/>
      <c r="G105" s="269">
        <v>0.7</v>
      </c>
      <c r="H105" s="269">
        <f t="shared" si="1"/>
        <v>1.1759999999999999</v>
      </c>
      <c r="I105" s="187"/>
    </row>
    <row r="106" spans="1:9" x14ac:dyDescent="0.25">
      <c r="A106" s="237" t="s">
        <v>86</v>
      </c>
      <c r="B106" s="156" t="s">
        <v>356</v>
      </c>
      <c r="C106" s="159" t="s">
        <v>72</v>
      </c>
      <c r="D106" s="158">
        <f>((D98*3)+D102)</f>
        <v>214</v>
      </c>
      <c r="E106" s="158"/>
      <c r="F106" s="185"/>
      <c r="G106" s="269"/>
      <c r="H106" s="269"/>
      <c r="I106" s="187"/>
    </row>
    <row r="107" spans="1:9" x14ac:dyDescent="0.25">
      <c r="A107" s="237" t="s">
        <v>79</v>
      </c>
      <c r="B107" s="156" t="s">
        <v>145</v>
      </c>
      <c r="C107" s="159" t="s">
        <v>75</v>
      </c>
      <c r="D107" s="158">
        <f>D91</f>
        <v>31.6</v>
      </c>
      <c r="E107" s="158"/>
      <c r="F107" s="185"/>
      <c r="G107" s="269"/>
      <c r="H107" s="269"/>
      <c r="I107" s="187"/>
    </row>
    <row r="108" spans="1:9" x14ac:dyDescent="0.25">
      <c r="A108" s="237" t="s">
        <v>85</v>
      </c>
      <c r="B108" s="156" t="s">
        <v>131</v>
      </c>
      <c r="C108" s="159" t="s">
        <v>76</v>
      </c>
      <c r="D108" s="158">
        <f>D103+D104</f>
        <v>2.94</v>
      </c>
      <c r="E108" s="158"/>
      <c r="F108" s="185"/>
      <c r="G108" s="269"/>
      <c r="H108" s="269"/>
      <c r="I108" s="187"/>
    </row>
    <row r="109" spans="1:9" x14ac:dyDescent="0.25">
      <c r="A109" s="237" t="s">
        <v>87</v>
      </c>
      <c r="B109" s="156" t="s">
        <v>88</v>
      </c>
      <c r="C109" s="159" t="s">
        <v>76</v>
      </c>
      <c r="D109" s="158">
        <f>D108</f>
        <v>2.94</v>
      </c>
      <c r="E109" s="158"/>
      <c r="F109" s="185"/>
      <c r="G109" s="269"/>
      <c r="H109" s="269"/>
      <c r="I109" s="187"/>
    </row>
    <row r="110" spans="1:9" x14ac:dyDescent="0.25">
      <c r="A110" s="237" t="s">
        <v>89</v>
      </c>
      <c r="B110" s="156" t="s">
        <v>90</v>
      </c>
      <c r="C110" s="159" t="s">
        <v>76</v>
      </c>
      <c r="D110" s="158">
        <f>D108</f>
        <v>2.94</v>
      </c>
      <c r="E110" s="158"/>
      <c r="F110" s="185"/>
      <c r="G110" s="269"/>
      <c r="H110" s="269"/>
      <c r="I110" s="187"/>
    </row>
    <row r="111" spans="1:9" x14ac:dyDescent="0.25">
      <c r="A111" s="237" t="s">
        <v>139</v>
      </c>
      <c r="B111" s="156" t="s">
        <v>198</v>
      </c>
      <c r="C111" s="159" t="s">
        <v>75</v>
      </c>
      <c r="D111" s="158">
        <f>(D91)</f>
        <v>31.6</v>
      </c>
      <c r="E111" s="158"/>
      <c r="F111" s="185"/>
      <c r="G111" s="269"/>
      <c r="H111" s="269"/>
      <c r="I111" s="187"/>
    </row>
    <row r="112" spans="1:9" x14ac:dyDescent="0.25">
      <c r="A112" s="237" t="s">
        <v>91</v>
      </c>
      <c r="B112" s="156" t="s">
        <v>125</v>
      </c>
      <c r="C112" s="159" t="s">
        <v>75</v>
      </c>
      <c r="D112" s="158">
        <f>D91*2</f>
        <v>63.2</v>
      </c>
      <c r="E112" s="158"/>
      <c r="F112" s="185"/>
      <c r="G112" s="269"/>
      <c r="H112" s="269"/>
      <c r="I112" s="187"/>
    </row>
    <row r="113" spans="1:9" x14ac:dyDescent="0.25">
      <c r="A113" s="237" t="s">
        <v>92</v>
      </c>
      <c r="B113" s="156" t="s">
        <v>126</v>
      </c>
      <c r="C113" s="159" t="s">
        <v>75</v>
      </c>
      <c r="D113" s="158">
        <f>D112</f>
        <v>63.2</v>
      </c>
      <c r="E113" s="158"/>
      <c r="F113" s="185"/>
      <c r="G113" s="269"/>
      <c r="H113" s="269"/>
      <c r="I113" s="187"/>
    </row>
    <row r="114" spans="1:9" x14ac:dyDescent="0.25">
      <c r="A114" s="237" t="s">
        <v>93</v>
      </c>
      <c r="B114" s="156" t="s">
        <v>94</v>
      </c>
      <c r="C114" s="159" t="s">
        <v>72</v>
      </c>
      <c r="D114" s="158">
        <f>D98</f>
        <v>20</v>
      </c>
      <c r="E114" s="158"/>
      <c r="F114" s="185"/>
      <c r="G114" s="269"/>
      <c r="H114" s="269"/>
      <c r="I114" s="187"/>
    </row>
    <row r="115" spans="1:9" ht="20.399999999999999" x14ac:dyDescent="0.25">
      <c r="A115" s="237" t="s">
        <v>120</v>
      </c>
      <c r="B115" s="156" t="s">
        <v>122</v>
      </c>
      <c r="C115" s="159" t="s">
        <v>72</v>
      </c>
      <c r="D115" s="158">
        <f>D98</f>
        <v>20</v>
      </c>
      <c r="E115" s="158"/>
      <c r="F115" s="185"/>
      <c r="G115" s="269"/>
      <c r="H115" s="269"/>
      <c r="I115" s="187"/>
    </row>
    <row r="116" spans="1:9" x14ac:dyDescent="0.25">
      <c r="A116" s="237" t="s">
        <v>201</v>
      </c>
      <c r="B116" s="156" t="s">
        <v>140</v>
      </c>
      <c r="C116" s="159" t="s">
        <v>72</v>
      </c>
      <c r="D116" s="158">
        <f>D102</f>
        <v>154</v>
      </c>
      <c r="E116" s="158"/>
      <c r="F116" s="185"/>
      <c r="G116" s="269"/>
      <c r="H116" s="269"/>
      <c r="I116" s="187"/>
    </row>
    <row r="117" spans="1:9" ht="20.399999999999999" x14ac:dyDescent="0.25">
      <c r="A117" s="237" t="s">
        <v>199</v>
      </c>
      <c r="B117" s="156" t="s">
        <v>200</v>
      </c>
      <c r="C117" s="159"/>
      <c r="D117" s="158">
        <f>D102</f>
        <v>154</v>
      </c>
      <c r="E117" s="158"/>
      <c r="F117" s="185"/>
      <c r="G117" s="269"/>
      <c r="H117" s="269"/>
      <c r="I117" s="187"/>
    </row>
    <row r="118" spans="1:9" x14ac:dyDescent="0.25">
      <c r="A118" s="237" t="s">
        <v>95</v>
      </c>
      <c r="B118" s="156" t="s">
        <v>124</v>
      </c>
      <c r="C118" s="159" t="s">
        <v>77</v>
      </c>
      <c r="D118" s="389">
        <f>(D114*3)/100000</f>
        <v>5.9999999999999995E-4</v>
      </c>
      <c r="E118" s="158"/>
      <c r="F118" s="185"/>
      <c r="G118" s="269"/>
      <c r="H118" s="389">
        <f>(H114*3)/100000</f>
        <v>0</v>
      </c>
      <c r="I118" s="187"/>
    </row>
    <row r="119" spans="1:9" x14ac:dyDescent="0.25">
      <c r="A119" s="237" t="s">
        <v>121</v>
      </c>
      <c r="B119" s="156" t="s">
        <v>147</v>
      </c>
      <c r="C119" s="159" t="s">
        <v>75</v>
      </c>
      <c r="D119" s="158">
        <f>D91</f>
        <v>31.6</v>
      </c>
      <c r="E119" s="158"/>
      <c r="F119" s="185"/>
      <c r="G119" s="269"/>
      <c r="H119" s="269"/>
      <c r="I119" s="187"/>
    </row>
    <row r="120" spans="1:9" x14ac:dyDescent="0.25">
      <c r="A120" s="237" t="s">
        <v>98</v>
      </c>
      <c r="B120" s="156" t="s">
        <v>99</v>
      </c>
      <c r="C120" s="159" t="s">
        <v>76</v>
      </c>
      <c r="D120" s="158">
        <f>D91*0.02</f>
        <v>0.63200000000000001</v>
      </c>
      <c r="E120" s="158"/>
      <c r="F120" s="185"/>
      <c r="G120" s="269"/>
      <c r="H120" s="269"/>
      <c r="I120" s="187"/>
    </row>
    <row r="121" spans="1:9" ht="13.8" thickBot="1" x14ac:dyDescent="0.3">
      <c r="A121" s="237" t="s">
        <v>100</v>
      </c>
      <c r="B121" s="156" t="s">
        <v>101</v>
      </c>
      <c r="C121" s="159" t="s">
        <v>77</v>
      </c>
      <c r="D121" s="158">
        <f>H121</f>
        <v>4.9880000000000004</v>
      </c>
      <c r="E121" s="158"/>
      <c r="F121" s="185"/>
      <c r="G121" s="269"/>
      <c r="H121" s="269">
        <f>SUM(H91:H120)</f>
        <v>4.9880000000000004</v>
      </c>
      <c r="I121" s="187"/>
    </row>
    <row r="122" spans="1:9" ht="13.8" thickBot="1" x14ac:dyDescent="0.3">
      <c r="A122" s="284"/>
      <c r="B122" s="192" t="s">
        <v>132</v>
      </c>
      <c r="C122" s="193"/>
      <c r="D122" s="194"/>
      <c r="E122" s="194"/>
      <c r="F122" s="195"/>
      <c r="G122" s="283"/>
      <c r="H122" s="283"/>
      <c r="I122" s="318"/>
    </row>
    <row r="123" spans="1:9" ht="13.8" thickBot="1" x14ac:dyDescent="0.3">
      <c r="A123" s="291"/>
      <c r="B123" s="206" t="s">
        <v>186</v>
      </c>
      <c r="C123" s="207" t="s">
        <v>75</v>
      </c>
      <c r="D123" s="400">
        <v>20</v>
      </c>
      <c r="E123" s="194"/>
      <c r="F123" s="195"/>
      <c r="G123" s="283"/>
      <c r="H123" s="283"/>
      <c r="I123" s="318">
        <f>SUM(F124:F152)</f>
        <v>0</v>
      </c>
    </row>
    <row r="124" spans="1:9" x14ac:dyDescent="0.25">
      <c r="A124" s="241"/>
      <c r="B124" s="204" t="s">
        <v>160</v>
      </c>
      <c r="C124" s="205"/>
      <c r="D124" s="189"/>
      <c r="E124" s="189"/>
      <c r="F124" s="190"/>
      <c r="G124" s="282"/>
      <c r="H124" s="282"/>
      <c r="I124" s="187"/>
    </row>
    <row r="125" spans="1:9" x14ac:dyDescent="0.25">
      <c r="A125" s="237" t="s">
        <v>86</v>
      </c>
      <c r="B125" s="156" t="s">
        <v>220</v>
      </c>
      <c r="C125" s="159" t="s">
        <v>72</v>
      </c>
      <c r="D125" s="158">
        <v>5</v>
      </c>
      <c r="E125" s="158"/>
      <c r="F125" s="185"/>
      <c r="G125" s="269">
        <v>0.15</v>
      </c>
      <c r="H125" s="269">
        <f t="shared" ref="H125:H138" si="2">G125*D125</f>
        <v>0.75</v>
      </c>
      <c r="I125" s="187"/>
    </row>
    <row r="126" spans="1:9" x14ac:dyDescent="0.25">
      <c r="A126" s="237"/>
      <c r="B126" s="157"/>
      <c r="C126" s="159" t="s">
        <v>72</v>
      </c>
      <c r="D126" s="173">
        <f>SUM(D125:D125)</f>
        <v>5</v>
      </c>
      <c r="E126" s="158"/>
      <c r="F126" s="185"/>
      <c r="G126" s="269"/>
      <c r="H126" s="269"/>
      <c r="I126" s="187"/>
    </row>
    <row r="127" spans="1:9" x14ac:dyDescent="0.25">
      <c r="A127" s="237"/>
      <c r="B127" s="157" t="s">
        <v>159</v>
      </c>
      <c r="C127" s="159"/>
      <c r="D127" s="158"/>
      <c r="E127" s="158"/>
      <c r="F127" s="185"/>
      <c r="G127" s="269"/>
      <c r="H127" s="269"/>
      <c r="I127" s="187"/>
    </row>
    <row r="128" spans="1:9" x14ac:dyDescent="0.25">
      <c r="A128" s="237" t="s">
        <v>86</v>
      </c>
      <c r="B128" s="156" t="s">
        <v>196</v>
      </c>
      <c r="C128" s="159" t="s">
        <v>72</v>
      </c>
      <c r="D128" s="158">
        <v>76</v>
      </c>
      <c r="E128" s="158"/>
      <c r="F128" s="185"/>
      <c r="G128" s="269">
        <v>5.0000000000000001E-4</v>
      </c>
      <c r="H128" s="269">
        <f t="shared" si="2"/>
        <v>3.7999999999999999E-2</v>
      </c>
      <c r="I128" s="187"/>
    </row>
    <row r="129" spans="1:9" x14ac:dyDescent="0.25">
      <c r="A129" s="237" t="s">
        <v>86</v>
      </c>
      <c r="B129" s="156" t="s">
        <v>197</v>
      </c>
      <c r="C129" s="159" t="s">
        <v>72</v>
      </c>
      <c r="D129" s="158">
        <v>78</v>
      </c>
      <c r="E129" s="158"/>
      <c r="F129" s="185"/>
      <c r="G129" s="269">
        <v>5.0000000000000001E-4</v>
      </c>
      <c r="H129" s="269">
        <f t="shared" si="2"/>
        <v>3.9E-2</v>
      </c>
      <c r="I129" s="187"/>
    </row>
    <row r="130" spans="1:9" x14ac:dyDescent="0.25">
      <c r="A130" s="237" t="s">
        <v>86</v>
      </c>
      <c r="B130" s="156" t="s">
        <v>434</v>
      </c>
      <c r="C130" s="159" t="s">
        <v>72</v>
      </c>
      <c r="D130" s="158">
        <v>18</v>
      </c>
      <c r="E130" s="158"/>
      <c r="F130" s="185"/>
      <c r="G130" s="269">
        <v>5.0000000000000001E-4</v>
      </c>
      <c r="H130" s="269">
        <f t="shared" si="2"/>
        <v>9.0000000000000011E-3</v>
      </c>
      <c r="I130" s="187"/>
    </row>
    <row r="131" spans="1:9" x14ac:dyDescent="0.25">
      <c r="A131" s="237" t="s">
        <v>86</v>
      </c>
      <c r="B131" s="156" t="s">
        <v>221</v>
      </c>
      <c r="C131" s="159" t="s">
        <v>72</v>
      </c>
      <c r="D131" s="158">
        <v>45</v>
      </c>
      <c r="E131" s="158"/>
      <c r="F131" s="185"/>
      <c r="G131" s="269">
        <v>5.0000000000000001E-4</v>
      </c>
      <c r="H131" s="269">
        <f t="shared" si="2"/>
        <v>2.2499999999999999E-2</v>
      </c>
      <c r="I131" s="187"/>
    </row>
    <row r="132" spans="1:9" x14ac:dyDescent="0.25">
      <c r="A132" s="237" t="s">
        <v>86</v>
      </c>
      <c r="B132" s="156" t="s">
        <v>222</v>
      </c>
      <c r="C132" s="159" t="s">
        <v>72</v>
      </c>
      <c r="D132" s="158">
        <v>21</v>
      </c>
      <c r="E132" s="158"/>
      <c r="F132" s="185"/>
      <c r="G132" s="269">
        <v>5.0000000000000001E-4</v>
      </c>
      <c r="H132" s="269">
        <f t="shared" si="2"/>
        <v>1.0500000000000001E-2</v>
      </c>
      <c r="I132" s="187"/>
    </row>
    <row r="133" spans="1:9" ht="15.6" x14ac:dyDescent="0.3">
      <c r="A133" s="237"/>
      <c r="B133" s="374"/>
      <c r="C133" s="159" t="s">
        <v>72</v>
      </c>
      <c r="D133" s="173">
        <f>SUM(D128:D132)</f>
        <v>238</v>
      </c>
      <c r="E133" s="158"/>
      <c r="F133" s="185"/>
      <c r="G133" s="269"/>
      <c r="H133" s="269"/>
      <c r="I133" s="187"/>
    </row>
    <row r="134" spans="1:9" x14ac:dyDescent="0.25">
      <c r="A134" s="237" t="s">
        <v>86</v>
      </c>
      <c r="B134" s="156" t="s">
        <v>143</v>
      </c>
      <c r="C134" s="159" t="s">
        <v>76</v>
      </c>
      <c r="D134" s="158">
        <f>1*1.05</f>
        <v>1.05</v>
      </c>
      <c r="E134" s="158"/>
      <c r="F134" s="185"/>
      <c r="G134" s="269">
        <v>0.7</v>
      </c>
      <c r="H134" s="269">
        <f t="shared" si="2"/>
        <v>0.73499999999999999</v>
      </c>
      <c r="I134" s="187"/>
    </row>
    <row r="135" spans="1:9" x14ac:dyDescent="0.25">
      <c r="A135" s="237" t="s">
        <v>86</v>
      </c>
      <c r="B135" s="156" t="s">
        <v>356</v>
      </c>
      <c r="C135" s="159" t="s">
        <v>72</v>
      </c>
      <c r="D135" s="158">
        <f>((D126*10)+D133)</f>
        <v>288</v>
      </c>
      <c r="E135" s="158"/>
      <c r="F135" s="185"/>
      <c r="G135" s="269"/>
      <c r="H135" s="269"/>
      <c r="I135" s="187"/>
    </row>
    <row r="136" spans="1:9" x14ac:dyDescent="0.25">
      <c r="A136" s="237" t="s">
        <v>85</v>
      </c>
      <c r="B136" s="156" t="s">
        <v>227</v>
      </c>
      <c r="C136" s="159"/>
      <c r="D136" s="158"/>
      <c r="E136" s="158"/>
      <c r="F136" s="185"/>
      <c r="G136" s="269"/>
      <c r="H136" s="269"/>
      <c r="I136" s="187"/>
    </row>
    <row r="137" spans="1:9" x14ac:dyDescent="0.25">
      <c r="A137" s="237" t="s">
        <v>79</v>
      </c>
      <c r="B137" s="156" t="s">
        <v>145</v>
      </c>
      <c r="C137" s="159" t="s">
        <v>75</v>
      </c>
      <c r="D137" s="158">
        <f>D123</f>
        <v>20</v>
      </c>
      <c r="E137" s="158"/>
      <c r="F137" s="185"/>
      <c r="G137" s="269"/>
      <c r="H137" s="269"/>
      <c r="I137" s="187"/>
    </row>
    <row r="138" spans="1:9" x14ac:dyDescent="0.25">
      <c r="A138" s="237" t="s">
        <v>225</v>
      </c>
      <c r="B138" s="156" t="s">
        <v>226</v>
      </c>
      <c r="C138" s="159" t="s">
        <v>76</v>
      </c>
      <c r="D138" s="158">
        <f>D123*0.3</f>
        <v>6</v>
      </c>
      <c r="E138" s="158"/>
      <c r="F138" s="185"/>
      <c r="G138" s="269">
        <v>1.4</v>
      </c>
      <c r="H138" s="269">
        <f t="shared" si="2"/>
        <v>8.3999999999999986</v>
      </c>
      <c r="I138" s="187"/>
    </row>
    <row r="139" spans="1:9" ht="20.399999999999999" x14ac:dyDescent="0.25">
      <c r="A139" s="237" t="s">
        <v>79</v>
      </c>
      <c r="B139" s="156" t="s">
        <v>324</v>
      </c>
      <c r="C139" s="159" t="s">
        <v>76</v>
      </c>
      <c r="D139" s="158">
        <f>D138</f>
        <v>6</v>
      </c>
      <c r="E139" s="158"/>
      <c r="F139" s="185"/>
      <c r="G139" s="269"/>
      <c r="H139" s="269"/>
      <c r="I139" s="187"/>
    </row>
    <row r="140" spans="1:9" x14ac:dyDescent="0.25">
      <c r="A140" s="237" t="s">
        <v>85</v>
      </c>
      <c r="B140" s="156" t="s">
        <v>131</v>
      </c>
      <c r="C140" s="159" t="s">
        <v>76</v>
      </c>
      <c r="D140" s="158">
        <f>D139</f>
        <v>6</v>
      </c>
      <c r="E140" s="158"/>
      <c r="F140" s="185"/>
      <c r="G140" s="269"/>
      <c r="H140" s="269"/>
      <c r="I140" s="187"/>
    </row>
    <row r="141" spans="1:9" x14ac:dyDescent="0.25">
      <c r="A141" s="237" t="s">
        <v>87</v>
      </c>
      <c r="B141" s="156" t="s">
        <v>88</v>
      </c>
      <c r="C141" s="159" t="s">
        <v>76</v>
      </c>
      <c r="D141" s="158">
        <f>D140</f>
        <v>6</v>
      </c>
      <c r="E141" s="158"/>
      <c r="F141" s="185"/>
      <c r="G141" s="269"/>
      <c r="H141" s="269"/>
      <c r="I141" s="187"/>
    </row>
    <row r="142" spans="1:9" x14ac:dyDescent="0.25">
      <c r="A142" s="237" t="s">
        <v>89</v>
      </c>
      <c r="B142" s="156" t="s">
        <v>90</v>
      </c>
      <c r="C142" s="159" t="s">
        <v>76</v>
      </c>
      <c r="D142" s="158">
        <f>D140</f>
        <v>6</v>
      </c>
      <c r="E142" s="158"/>
      <c r="F142" s="185"/>
      <c r="G142" s="269"/>
      <c r="H142" s="269"/>
      <c r="I142" s="187"/>
    </row>
    <row r="143" spans="1:9" x14ac:dyDescent="0.25">
      <c r="A143" s="237" t="s">
        <v>223</v>
      </c>
      <c r="B143" s="156" t="s">
        <v>224</v>
      </c>
      <c r="C143" s="159" t="s">
        <v>75</v>
      </c>
      <c r="D143" s="158">
        <f>D123</f>
        <v>20</v>
      </c>
      <c r="E143" s="158"/>
      <c r="F143" s="185"/>
      <c r="G143" s="269"/>
      <c r="H143" s="269"/>
      <c r="I143" s="187"/>
    </row>
    <row r="144" spans="1:9" x14ac:dyDescent="0.25">
      <c r="A144" s="237" t="s">
        <v>92</v>
      </c>
      <c r="B144" s="156" t="s">
        <v>126</v>
      </c>
      <c r="C144" s="159" t="s">
        <v>75</v>
      </c>
      <c r="D144" s="158">
        <f>D123</f>
        <v>20</v>
      </c>
      <c r="E144" s="158"/>
      <c r="F144" s="185"/>
      <c r="G144" s="269"/>
      <c r="H144" s="269"/>
      <c r="I144" s="187"/>
    </row>
    <row r="145" spans="1:11" ht="20.399999999999999" x14ac:dyDescent="0.25">
      <c r="A145" s="237" t="s">
        <v>170</v>
      </c>
      <c r="B145" s="156" t="s">
        <v>171</v>
      </c>
      <c r="C145" s="159" t="s">
        <v>72</v>
      </c>
      <c r="D145" s="158">
        <f>D126</f>
        <v>5</v>
      </c>
      <c r="E145" s="158"/>
      <c r="F145" s="185"/>
      <c r="G145" s="269"/>
      <c r="H145" s="269"/>
      <c r="I145" s="187"/>
    </row>
    <row r="146" spans="1:11" x14ac:dyDescent="0.25">
      <c r="A146" s="237" t="s">
        <v>172</v>
      </c>
      <c r="B146" s="156" t="s">
        <v>173</v>
      </c>
      <c r="C146" s="159" t="s">
        <v>72</v>
      </c>
      <c r="D146" s="158">
        <f>D126</f>
        <v>5</v>
      </c>
      <c r="E146" s="158"/>
      <c r="F146" s="185"/>
      <c r="G146" s="269"/>
      <c r="H146" s="269"/>
      <c r="I146" s="187"/>
    </row>
    <row r="147" spans="1:11" x14ac:dyDescent="0.25">
      <c r="A147" s="237" t="s">
        <v>201</v>
      </c>
      <c r="B147" s="156" t="s">
        <v>140</v>
      </c>
      <c r="C147" s="159" t="s">
        <v>72</v>
      </c>
      <c r="D147" s="158">
        <f>D133</f>
        <v>238</v>
      </c>
      <c r="E147" s="158"/>
      <c r="F147" s="185"/>
      <c r="G147" s="269"/>
      <c r="H147" s="269"/>
      <c r="I147" s="187"/>
    </row>
    <row r="148" spans="1:11" ht="20.399999999999999" x14ac:dyDescent="0.25">
      <c r="A148" s="237" t="s">
        <v>199</v>
      </c>
      <c r="B148" s="156" t="s">
        <v>200</v>
      </c>
      <c r="C148" s="159" t="s">
        <v>72</v>
      </c>
      <c r="D148" s="158">
        <f>D133</f>
        <v>238</v>
      </c>
      <c r="E148" s="158"/>
      <c r="F148" s="185"/>
      <c r="G148" s="269"/>
      <c r="H148" s="269"/>
      <c r="I148" s="187"/>
    </row>
    <row r="149" spans="1:11" x14ac:dyDescent="0.25">
      <c r="A149" s="237" t="s">
        <v>95</v>
      </c>
      <c r="B149" s="156" t="s">
        <v>124</v>
      </c>
      <c r="C149" s="159" t="s">
        <v>77</v>
      </c>
      <c r="D149" s="158">
        <f>((D126*3)+D133)/100000</f>
        <v>2.5300000000000001E-3</v>
      </c>
      <c r="E149" s="158"/>
      <c r="F149" s="185"/>
      <c r="G149" s="269"/>
      <c r="H149" s="269"/>
      <c r="I149" s="187"/>
    </row>
    <row r="150" spans="1:11" x14ac:dyDescent="0.25">
      <c r="A150" s="237" t="s">
        <v>121</v>
      </c>
      <c r="B150" s="156" t="s">
        <v>147</v>
      </c>
      <c r="C150" s="159" t="s">
        <v>75</v>
      </c>
      <c r="D150" s="158">
        <f>D123</f>
        <v>20</v>
      </c>
      <c r="E150" s="158"/>
      <c r="F150" s="185"/>
      <c r="G150" s="269"/>
      <c r="H150" s="269"/>
      <c r="I150" s="187"/>
    </row>
    <row r="151" spans="1:11" x14ac:dyDescent="0.25">
      <c r="A151" s="237" t="s">
        <v>98</v>
      </c>
      <c r="B151" s="156" t="s">
        <v>99</v>
      </c>
      <c r="C151" s="159" t="s">
        <v>76</v>
      </c>
      <c r="D151" s="158">
        <f>D123*0.02</f>
        <v>0.4</v>
      </c>
      <c r="E151" s="158"/>
      <c r="F151" s="185"/>
      <c r="G151" s="269"/>
      <c r="H151" s="269"/>
      <c r="I151" s="187"/>
    </row>
    <row r="152" spans="1:11" ht="13.8" thickBot="1" x14ac:dyDescent="0.3">
      <c r="A152" s="237" t="s">
        <v>100</v>
      </c>
      <c r="B152" s="156" t="s">
        <v>101</v>
      </c>
      <c r="C152" s="159" t="s">
        <v>77</v>
      </c>
      <c r="D152" s="158">
        <f>H152</f>
        <v>10.003999999999998</v>
      </c>
      <c r="E152" s="158"/>
      <c r="F152" s="185"/>
      <c r="G152" s="269"/>
      <c r="H152" s="269">
        <f>SUM(H123:H151)</f>
        <v>10.003999999999998</v>
      </c>
      <c r="I152" s="187"/>
    </row>
    <row r="153" spans="1:11" ht="13.8" thickBot="1" x14ac:dyDescent="0.3">
      <c r="A153" s="291"/>
      <c r="B153" s="206" t="s">
        <v>187</v>
      </c>
      <c r="C153" s="207" t="s">
        <v>75</v>
      </c>
      <c r="D153" s="400">
        <v>128.19999999999999</v>
      </c>
      <c r="E153" s="194"/>
      <c r="F153" s="195"/>
      <c r="G153" s="283"/>
      <c r="H153" s="283"/>
      <c r="I153" s="318">
        <f>SUM(F154:F177)</f>
        <v>0</v>
      </c>
    </row>
    <row r="154" spans="1:11" x14ac:dyDescent="0.25">
      <c r="A154" s="241" t="s">
        <v>292</v>
      </c>
      <c r="B154" s="375" t="s">
        <v>246</v>
      </c>
      <c r="C154" s="205" t="s">
        <v>72</v>
      </c>
      <c r="D154" s="189">
        <v>189</v>
      </c>
      <c r="E154" s="189"/>
      <c r="F154" s="190"/>
      <c r="G154" s="282">
        <v>5.0000000000000001E-4</v>
      </c>
      <c r="H154" s="282">
        <f t="shared" ref="H154:H162" si="3">G154*D154</f>
        <v>9.4500000000000001E-2</v>
      </c>
      <c r="I154" s="187"/>
    </row>
    <row r="155" spans="1:11" x14ac:dyDescent="0.25">
      <c r="A155" s="237" t="s">
        <v>86</v>
      </c>
      <c r="B155" s="156" t="s">
        <v>196</v>
      </c>
      <c r="C155" s="159" t="s">
        <v>72</v>
      </c>
      <c r="D155" s="158">
        <v>201</v>
      </c>
      <c r="E155" s="158"/>
      <c r="F155" s="185"/>
      <c r="G155" s="269">
        <v>5.0000000000000001E-4</v>
      </c>
      <c r="H155" s="269">
        <f t="shared" si="3"/>
        <v>0.10050000000000001</v>
      </c>
      <c r="I155" s="187"/>
    </row>
    <row r="156" spans="1:11" x14ac:dyDescent="0.25">
      <c r="A156" s="237" t="s">
        <v>86</v>
      </c>
      <c r="B156" s="156" t="s">
        <v>197</v>
      </c>
      <c r="C156" s="159" t="s">
        <v>72</v>
      </c>
      <c r="D156" s="158">
        <v>199</v>
      </c>
      <c r="E156" s="158"/>
      <c r="F156" s="185"/>
      <c r="G156" s="269">
        <v>5.0000000000000001E-4</v>
      </c>
      <c r="H156" s="269">
        <f t="shared" si="3"/>
        <v>9.9500000000000005E-2</v>
      </c>
      <c r="I156" s="187"/>
    </row>
    <row r="157" spans="1:11" x14ac:dyDescent="0.25">
      <c r="A157" s="237" t="s">
        <v>86</v>
      </c>
      <c r="B157" s="161" t="s">
        <v>435</v>
      </c>
      <c r="C157" s="159" t="s">
        <v>72</v>
      </c>
      <c r="D157" s="158">
        <v>26</v>
      </c>
      <c r="E157" s="158"/>
      <c r="F157" s="185"/>
      <c r="G157" s="269">
        <v>5.0000000000000001E-4</v>
      </c>
      <c r="H157" s="269">
        <f t="shared" si="3"/>
        <v>1.3000000000000001E-2</v>
      </c>
      <c r="I157" s="187"/>
    </row>
    <row r="158" spans="1:11" s="355" customFormat="1" x14ac:dyDescent="0.25">
      <c r="A158" s="237" t="s">
        <v>86</v>
      </c>
      <c r="B158" s="156" t="s">
        <v>222</v>
      </c>
      <c r="C158" s="159" t="s">
        <v>72</v>
      </c>
      <c r="D158" s="158">
        <v>495</v>
      </c>
      <c r="E158" s="158"/>
      <c r="F158" s="185"/>
      <c r="G158" s="269">
        <v>5.0000000000000001E-4</v>
      </c>
      <c r="H158" s="269">
        <f t="shared" si="3"/>
        <v>0.2475</v>
      </c>
      <c r="I158" s="187"/>
    </row>
    <row r="159" spans="1:11" ht="14.4" x14ac:dyDescent="0.25">
      <c r="A159" s="237"/>
      <c r="B159" s="156"/>
      <c r="C159" s="159"/>
      <c r="D159" s="173">
        <f>SUM(D154:D158)</f>
        <v>1110</v>
      </c>
      <c r="E159" s="158"/>
      <c r="F159" s="185"/>
      <c r="G159" s="269"/>
      <c r="H159" s="269"/>
      <c r="I159" s="187"/>
      <c r="J159" s="251"/>
      <c r="K159" s="251"/>
    </row>
    <row r="160" spans="1:11" ht="14.4" x14ac:dyDescent="0.25">
      <c r="A160" s="237" t="s">
        <v>86</v>
      </c>
      <c r="B160" s="156" t="s">
        <v>123</v>
      </c>
      <c r="C160" s="159" t="s">
        <v>76</v>
      </c>
      <c r="D160" s="158">
        <f>5.8*1.05</f>
        <v>6.09</v>
      </c>
      <c r="E160" s="158"/>
      <c r="F160" s="185"/>
      <c r="G160" s="269">
        <v>1.5</v>
      </c>
      <c r="H160" s="269">
        <f t="shared" si="3"/>
        <v>9.1349999999999998</v>
      </c>
      <c r="I160" s="187"/>
      <c r="J160" s="251"/>
      <c r="K160" s="251"/>
    </row>
    <row r="161" spans="1:11" ht="20.399999999999999" x14ac:dyDescent="0.25">
      <c r="A161" s="237" t="s">
        <v>86</v>
      </c>
      <c r="B161" s="156" t="s">
        <v>144</v>
      </c>
      <c r="C161" s="159" t="s">
        <v>76</v>
      </c>
      <c r="D161" s="158">
        <f>5.8*1.4</f>
        <v>8.1199999999999992</v>
      </c>
      <c r="E161" s="158"/>
      <c r="F161" s="185"/>
      <c r="G161" s="269">
        <v>1</v>
      </c>
      <c r="H161" s="269">
        <f t="shared" si="3"/>
        <v>8.1199999999999992</v>
      </c>
      <c r="I161" s="187"/>
      <c r="J161" s="251"/>
      <c r="K161" s="251"/>
    </row>
    <row r="162" spans="1:11" x14ac:dyDescent="0.25">
      <c r="A162" s="237" t="s">
        <v>86</v>
      </c>
      <c r="B162" s="156" t="s">
        <v>143</v>
      </c>
      <c r="C162" s="159" t="s">
        <v>76</v>
      </c>
      <c r="D162" s="158">
        <f>6.4*1.05</f>
        <v>6.7200000000000006</v>
      </c>
      <c r="E162" s="158"/>
      <c r="F162" s="185"/>
      <c r="G162" s="269">
        <v>0.7</v>
      </c>
      <c r="H162" s="269">
        <f t="shared" si="3"/>
        <v>4.7039999999999997</v>
      </c>
      <c r="I162" s="187"/>
    </row>
    <row r="163" spans="1:11" ht="14.4" x14ac:dyDescent="0.25">
      <c r="A163" s="237" t="s">
        <v>86</v>
      </c>
      <c r="B163" s="156" t="s">
        <v>356</v>
      </c>
      <c r="C163" s="159" t="s">
        <v>72</v>
      </c>
      <c r="D163" s="158">
        <f>D159</f>
        <v>1110</v>
      </c>
      <c r="E163" s="158"/>
      <c r="F163" s="185"/>
      <c r="G163" s="269"/>
      <c r="H163" s="269"/>
      <c r="I163" s="187"/>
      <c r="J163" s="251"/>
      <c r="K163" s="251"/>
    </row>
    <row r="164" spans="1:11" ht="14.4" x14ac:dyDescent="0.25">
      <c r="A164" s="237" t="s">
        <v>79</v>
      </c>
      <c r="B164" s="156" t="s">
        <v>145</v>
      </c>
      <c r="C164" s="159" t="s">
        <v>75</v>
      </c>
      <c r="D164" s="158">
        <f>D153</f>
        <v>128.19999999999999</v>
      </c>
      <c r="E164" s="158"/>
      <c r="F164" s="185"/>
      <c r="G164" s="269"/>
      <c r="H164" s="269"/>
      <c r="I164" s="187"/>
      <c r="J164" s="251"/>
      <c r="K164" s="251"/>
    </row>
    <row r="165" spans="1:11" ht="14.4" x14ac:dyDescent="0.25">
      <c r="A165" s="237" t="s">
        <v>85</v>
      </c>
      <c r="B165" s="156" t="s">
        <v>131</v>
      </c>
      <c r="C165" s="159" t="s">
        <v>76</v>
      </c>
      <c r="D165" s="158">
        <f>D160+D161</f>
        <v>14.209999999999999</v>
      </c>
      <c r="E165" s="158"/>
      <c r="F165" s="185"/>
      <c r="G165" s="269"/>
      <c r="H165" s="269"/>
      <c r="I165" s="187"/>
      <c r="J165" s="251"/>
      <c r="K165" s="251"/>
    </row>
    <row r="166" spans="1:11" ht="14.4" x14ac:dyDescent="0.25">
      <c r="A166" s="237" t="s">
        <v>87</v>
      </c>
      <c r="B166" s="156" t="s">
        <v>88</v>
      </c>
      <c r="C166" s="159" t="s">
        <v>76</v>
      </c>
      <c r="D166" s="158">
        <f>D165</f>
        <v>14.209999999999999</v>
      </c>
      <c r="E166" s="158"/>
      <c r="F166" s="185"/>
      <c r="G166" s="269"/>
      <c r="H166" s="269"/>
      <c r="I166" s="187"/>
      <c r="J166" s="251"/>
      <c r="K166" s="251"/>
    </row>
    <row r="167" spans="1:11" x14ac:dyDescent="0.25">
      <c r="A167" s="237" t="s">
        <v>89</v>
      </c>
      <c r="B167" s="156" t="s">
        <v>90</v>
      </c>
      <c r="C167" s="159" t="s">
        <v>76</v>
      </c>
      <c r="D167" s="158">
        <f>D165</f>
        <v>14.209999999999999</v>
      </c>
      <c r="E167" s="158"/>
      <c r="F167" s="185"/>
      <c r="G167" s="269"/>
      <c r="H167" s="269"/>
      <c r="I167" s="187"/>
      <c r="J167" s="249"/>
      <c r="K167" s="249"/>
    </row>
    <row r="168" spans="1:11" x14ac:dyDescent="0.25">
      <c r="A168" s="237" t="s">
        <v>139</v>
      </c>
      <c r="B168" s="156" t="s">
        <v>198</v>
      </c>
      <c r="C168" s="159" t="s">
        <v>75</v>
      </c>
      <c r="D168" s="158">
        <f>(D153)</f>
        <v>128.19999999999999</v>
      </c>
      <c r="E168" s="158"/>
      <c r="F168" s="185"/>
      <c r="G168" s="269"/>
      <c r="H168" s="269"/>
      <c r="I168" s="187"/>
    </row>
    <row r="169" spans="1:11" x14ac:dyDescent="0.25">
      <c r="A169" s="237" t="s">
        <v>91</v>
      </c>
      <c r="B169" s="156" t="s">
        <v>125</v>
      </c>
      <c r="C169" s="159" t="s">
        <v>75</v>
      </c>
      <c r="D169" s="158">
        <f>D153*2</f>
        <v>256.39999999999998</v>
      </c>
      <c r="E169" s="158"/>
      <c r="F169" s="185"/>
      <c r="G169" s="269"/>
      <c r="H169" s="269"/>
      <c r="I169" s="187"/>
    </row>
    <row r="170" spans="1:11" x14ac:dyDescent="0.25">
      <c r="A170" s="237" t="s">
        <v>92</v>
      </c>
      <c r="B170" s="156" t="s">
        <v>126</v>
      </c>
      <c r="C170" s="159" t="s">
        <v>75</v>
      </c>
      <c r="D170" s="158">
        <f>D169</f>
        <v>256.39999999999998</v>
      </c>
      <c r="E170" s="158"/>
      <c r="F170" s="185"/>
      <c r="G170" s="269"/>
      <c r="H170" s="269"/>
      <c r="I170" s="187"/>
    </row>
    <row r="171" spans="1:11" x14ac:dyDescent="0.25">
      <c r="A171" s="237" t="s">
        <v>201</v>
      </c>
      <c r="B171" s="156" t="s">
        <v>140</v>
      </c>
      <c r="C171" s="159" t="s">
        <v>72</v>
      </c>
      <c r="D171" s="158">
        <f>D159</f>
        <v>1110</v>
      </c>
      <c r="E171" s="158"/>
      <c r="F171" s="185"/>
      <c r="G171" s="269"/>
      <c r="H171" s="269"/>
      <c r="I171" s="187"/>
    </row>
    <row r="172" spans="1:11" ht="20.399999999999999" x14ac:dyDescent="0.25">
      <c r="A172" s="237" t="s">
        <v>199</v>
      </c>
      <c r="B172" s="156" t="s">
        <v>200</v>
      </c>
      <c r="C172" s="159" t="s">
        <v>72</v>
      </c>
      <c r="D172" s="158">
        <f>D159</f>
        <v>1110</v>
      </c>
      <c r="E172" s="158"/>
      <c r="F172" s="185"/>
      <c r="G172" s="269"/>
      <c r="H172" s="269"/>
      <c r="I172" s="187"/>
    </row>
    <row r="173" spans="1:11" x14ac:dyDescent="0.25">
      <c r="A173" s="237" t="s">
        <v>95</v>
      </c>
      <c r="B173" s="156" t="s">
        <v>124</v>
      </c>
      <c r="C173" s="159" t="s">
        <v>77</v>
      </c>
      <c r="D173" s="158">
        <f>(D159)/100000</f>
        <v>1.11E-2</v>
      </c>
      <c r="E173" s="158"/>
      <c r="F173" s="185"/>
      <c r="G173" s="269"/>
      <c r="H173" s="269"/>
      <c r="I173" s="187"/>
    </row>
    <row r="174" spans="1:11" x14ac:dyDescent="0.25">
      <c r="A174" s="237" t="s">
        <v>121</v>
      </c>
      <c r="B174" s="156" t="s">
        <v>147</v>
      </c>
      <c r="C174" s="159" t="s">
        <v>75</v>
      </c>
      <c r="D174" s="158">
        <f>D153</f>
        <v>128.19999999999999</v>
      </c>
      <c r="E174" s="158"/>
      <c r="F174" s="185"/>
      <c r="G174" s="269"/>
      <c r="H174" s="269"/>
      <c r="I174" s="187"/>
    </row>
    <row r="175" spans="1:11" x14ac:dyDescent="0.25">
      <c r="A175" s="237"/>
      <c r="B175" s="156" t="s">
        <v>218</v>
      </c>
      <c r="C175" s="159"/>
      <c r="D175" s="158"/>
      <c r="E175" s="158"/>
      <c r="F175" s="185"/>
      <c r="G175" s="269"/>
      <c r="H175" s="269"/>
      <c r="I175" s="187"/>
    </row>
    <row r="176" spans="1:11" x14ac:dyDescent="0.25">
      <c r="A176" s="237" t="s">
        <v>98</v>
      </c>
      <c r="B176" s="156" t="s">
        <v>99</v>
      </c>
      <c r="C176" s="159" t="s">
        <v>76</v>
      </c>
      <c r="D176" s="158">
        <f>D153*0.02</f>
        <v>2.5639999999999996</v>
      </c>
      <c r="E176" s="158"/>
      <c r="F176" s="185"/>
      <c r="G176" s="269"/>
      <c r="H176" s="269"/>
      <c r="I176" s="187"/>
    </row>
    <row r="177" spans="1:9" ht="13.8" thickBot="1" x14ac:dyDescent="0.3">
      <c r="A177" s="237" t="s">
        <v>100</v>
      </c>
      <c r="B177" s="156" t="s">
        <v>101</v>
      </c>
      <c r="C177" s="159" t="s">
        <v>77</v>
      </c>
      <c r="D177" s="158">
        <f>H177</f>
        <v>22.513999999999999</v>
      </c>
      <c r="E177" s="158"/>
      <c r="F177" s="185"/>
      <c r="G177" s="269"/>
      <c r="H177" s="269">
        <f>SUM(H153:H176)</f>
        <v>22.513999999999999</v>
      </c>
      <c r="I177" s="187"/>
    </row>
    <row r="178" spans="1:9" ht="13.8" thickBot="1" x14ac:dyDescent="0.3">
      <c r="A178" s="291"/>
      <c r="B178" s="206" t="s">
        <v>293</v>
      </c>
      <c r="C178" s="207" t="s">
        <v>75</v>
      </c>
      <c r="D178" s="400">
        <v>88.3</v>
      </c>
      <c r="E178" s="194"/>
      <c r="F178" s="195"/>
      <c r="G178" s="283"/>
      <c r="H178" s="283"/>
      <c r="I178" s="318">
        <f>SUM(F179:F249)</f>
        <v>0</v>
      </c>
    </row>
    <row r="179" spans="1:9" x14ac:dyDescent="0.25">
      <c r="A179" s="241"/>
      <c r="B179" s="204" t="s">
        <v>159</v>
      </c>
      <c r="C179" s="205"/>
      <c r="D179" s="189"/>
      <c r="E179" s="189"/>
      <c r="F179" s="190"/>
      <c r="G179" s="282"/>
      <c r="H179" s="282"/>
      <c r="I179" s="187"/>
    </row>
    <row r="180" spans="1:9" x14ac:dyDescent="0.25">
      <c r="A180" s="237" t="s">
        <v>86</v>
      </c>
      <c r="B180" s="161" t="s">
        <v>231</v>
      </c>
      <c r="C180" s="159" t="s">
        <v>72</v>
      </c>
      <c r="D180" s="158">
        <v>24</v>
      </c>
      <c r="E180" s="158"/>
      <c r="F180" s="185"/>
      <c r="G180" s="269">
        <v>5.0000000000000001E-4</v>
      </c>
      <c r="H180" s="269">
        <f t="shared" ref="H180:H209" si="4">G180*D180</f>
        <v>1.2E-2</v>
      </c>
      <c r="I180" s="187"/>
    </row>
    <row r="181" spans="1:9" x14ac:dyDescent="0.25">
      <c r="A181" s="237" t="s">
        <v>86</v>
      </c>
      <c r="B181" s="161" t="s">
        <v>202</v>
      </c>
      <c r="C181" s="159" t="s">
        <v>72</v>
      </c>
      <c r="D181" s="158">
        <v>33</v>
      </c>
      <c r="E181" s="158"/>
      <c r="F181" s="185"/>
      <c r="G181" s="269">
        <v>5.0000000000000001E-4</v>
      </c>
      <c r="H181" s="269">
        <f t="shared" si="4"/>
        <v>1.6500000000000001E-2</v>
      </c>
      <c r="I181" s="187"/>
    </row>
    <row r="182" spans="1:9" x14ac:dyDescent="0.25">
      <c r="A182" s="237" t="s">
        <v>86</v>
      </c>
      <c r="B182" s="161" t="s">
        <v>232</v>
      </c>
      <c r="C182" s="159" t="s">
        <v>72</v>
      </c>
      <c r="D182" s="158">
        <v>13</v>
      </c>
      <c r="E182" s="158"/>
      <c r="F182" s="185"/>
      <c r="G182" s="269">
        <v>5.0000000000000001E-4</v>
      </c>
      <c r="H182" s="269">
        <f t="shared" si="4"/>
        <v>6.5000000000000006E-3</v>
      </c>
      <c r="I182" s="187"/>
    </row>
    <row r="183" spans="1:9" x14ac:dyDescent="0.25">
      <c r="A183" s="237" t="s">
        <v>86</v>
      </c>
      <c r="B183" s="161" t="s">
        <v>233</v>
      </c>
      <c r="C183" s="159" t="s">
        <v>72</v>
      </c>
      <c r="D183" s="158">
        <v>26</v>
      </c>
      <c r="E183" s="158"/>
      <c r="F183" s="185"/>
      <c r="G183" s="269">
        <v>5.0000000000000001E-4</v>
      </c>
      <c r="H183" s="269">
        <f t="shared" si="4"/>
        <v>1.3000000000000001E-2</v>
      </c>
      <c r="I183" s="187"/>
    </row>
    <row r="184" spans="1:9" x14ac:dyDescent="0.25">
      <c r="A184" s="237" t="s">
        <v>86</v>
      </c>
      <c r="B184" s="161" t="s">
        <v>203</v>
      </c>
      <c r="C184" s="159" t="s">
        <v>72</v>
      </c>
      <c r="D184" s="158">
        <v>7</v>
      </c>
      <c r="E184" s="158"/>
      <c r="F184" s="185"/>
      <c r="G184" s="269">
        <v>5.0000000000000001E-4</v>
      </c>
      <c r="H184" s="269">
        <f t="shared" si="4"/>
        <v>3.5000000000000001E-3</v>
      </c>
      <c r="I184" s="187"/>
    </row>
    <row r="185" spans="1:9" x14ac:dyDescent="0.25">
      <c r="A185" s="237" t="s">
        <v>86</v>
      </c>
      <c r="B185" s="161" t="s">
        <v>234</v>
      </c>
      <c r="C185" s="159" t="s">
        <v>72</v>
      </c>
      <c r="D185" s="158">
        <v>5</v>
      </c>
      <c r="E185" s="158"/>
      <c r="F185" s="185"/>
      <c r="G185" s="269">
        <v>5.0000000000000001E-4</v>
      </c>
      <c r="H185" s="269">
        <f t="shared" si="4"/>
        <v>2.5000000000000001E-3</v>
      </c>
      <c r="I185" s="187"/>
    </row>
    <row r="186" spans="1:9" x14ac:dyDescent="0.25">
      <c r="A186" s="237" t="s">
        <v>86</v>
      </c>
      <c r="B186" s="161" t="s">
        <v>241</v>
      </c>
      <c r="C186" s="159" t="s">
        <v>72</v>
      </c>
      <c r="D186" s="158">
        <v>24</v>
      </c>
      <c r="E186" s="158"/>
      <c r="F186" s="185"/>
      <c r="G186" s="269">
        <v>5.0000000000000001E-4</v>
      </c>
      <c r="H186" s="269">
        <f t="shared" si="4"/>
        <v>1.2E-2</v>
      </c>
      <c r="I186" s="187"/>
    </row>
    <row r="187" spans="1:9" x14ac:dyDescent="0.25">
      <c r="A187" s="237" t="s">
        <v>86</v>
      </c>
      <c r="B187" s="161" t="s">
        <v>242</v>
      </c>
      <c r="C187" s="159" t="s">
        <v>72</v>
      </c>
      <c r="D187" s="158">
        <v>26</v>
      </c>
      <c r="E187" s="158"/>
      <c r="F187" s="185"/>
      <c r="G187" s="269">
        <v>5.0000000000000001E-4</v>
      </c>
      <c r="H187" s="269">
        <f t="shared" si="4"/>
        <v>1.3000000000000001E-2</v>
      </c>
      <c r="I187" s="187"/>
    </row>
    <row r="188" spans="1:9" x14ac:dyDescent="0.25">
      <c r="A188" s="237" t="s">
        <v>86</v>
      </c>
      <c r="B188" s="161" t="s">
        <v>206</v>
      </c>
      <c r="C188" s="159" t="s">
        <v>72</v>
      </c>
      <c r="D188" s="158">
        <v>12</v>
      </c>
      <c r="E188" s="158"/>
      <c r="F188" s="185"/>
      <c r="G188" s="269">
        <v>5.0000000000000001E-4</v>
      </c>
      <c r="H188" s="269">
        <f t="shared" si="4"/>
        <v>6.0000000000000001E-3</v>
      </c>
      <c r="I188" s="187"/>
    </row>
    <row r="189" spans="1:9" x14ac:dyDescent="0.25">
      <c r="A189" s="237" t="s">
        <v>86</v>
      </c>
      <c r="B189" s="161" t="s">
        <v>244</v>
      </c>
      <c r="C189" s="159" t="s">
        <v>72</v>
      </c>
      <c r="D189" s="158">
        <v>33</v>
      </c>
      <c r="E189" s="158"/>
      <c r="F189" s="185"/>
      <c r="G189" s="269">
        <v>5.0000000000000001E-4</v>
      </c>
      <c r="H189" s="269">
        <f t="shared" si="4"/>
        <v>1.6500000000000001E-2</v>
      </c>
      <c r="I189" s="187"/>
    </row>
    <row r="190" spans="1:9" x14ac:dyDescent="0.25">
      <c r="A190" s="237" t="s">
        <v>86</v>
      </c>
      <c r="B190" s="161" t="s">
        <v>207</v>
      </c>
      <c r="C190" s="159" t="s">
        <v>72</v>
      </c>
      <c r="D190" s="158">
        <v>16</v>
      </c>
      <c r="E190" s="158"/>
      <c r="F190" s="185"/>
      <c r="G190" s="269">
        <v>5.0000000000000001E-4</v>
      </c>
      <c r="H190" s="269">
        <f t="shared" si="4"/>
        <v>8.0000000000000002E-3</v>
      </c>
      <c r="I190" s="187"/>
    </row>
    <row r="191" spans="1:9" x14ac:dyDescent="0.25">
      <c r="A191" s="237" t="s">
        <v>86</v>
      </c>
      <c r="B191" s="161" t="s">
        <v>208</v>
      </c>
      <c r="C191" s="159" t="s">
        <v>72</v>
      </c>
      <c r="D191" s="158">
        <v>25</v>
      </c>
      <c r="E191" s="158"/>
      <c r="F191" s="185"/>
      <c r="G191" s="269">
        <v>5.0000000000000001E-4</v>
      </c>
      <c r="H191" s="269">
        <f t="shared" si="4"/>
        <v>1.2500000000000001E-2</v>
      </c>
      <c r="I191" s="187"/>
    </row>
    <row r="192" spans="1:9" x14ac:dyDescent="0.25">
      <c r="A192" s="237" t="s">
        <v>86</v>
      </c>
      <c r="B192" s="161" t="s">
        <v>247</v>
      </c>
      <c r="C192" s="159" t="s">
        <v>72</v>
      </c>
      <c r="D192" s="158">
        <v>9</v>
      </c>
      <c r="E192" s="158"/>
      <c r="F192" s="185"/>
      <c r="G192" s="269">
        <v>5.0000000000000001E-4</v>
      </c>
      <c r="H192" s="269">
        <f t="shared" si="4"/>
        <v>4.5000000000000005E-3</v>
      </c>
      <c r="I192" s="187"/>
    </row>
    <row r="193" spans="1:9" x14ac:dyDescent="0.25">
      <c r="A193" s="237" t="s">
        <v>86</v>
      </c>
      <c r="B193" s="161" t="s">
        <v>210</v>
      </c>
      <c r="C193" s="159" t="s">
        <v>72</v>
      </c>
      <c r="D193" s="158">
        <v>9</v>
      </c>
      <c r="E193" s="158"/>
      <c r="F193" s="185"/>
      <c r="G193" s="269">
        <v>5.0000000000000001E-4</v>
      </c>
      <c r="H193" s="269">
        <f t="shared" si="4"/>
        <v>4.5000000000000005E-3</v>
      </c>
      <c r="I193" s="187"/>
    </row>
    <row r="194" spans="1:9" x14ac:dyDescent="0.25">
      <c r="A194" s="237" t="s">
        <v>86</v>
      </c>
      <c r="B194" s="161" t="s">
        <v>248</v>
      </c>
      <c r="C194" s="159" t="s">
        <v>72</v>
      </c>
      <c r="D194" s="158">
        <v>24</v>
      </c>
      <c r="E194" s="158"/>
      <c r="F194" s="185"/>
      <c r="G194" s="269">
        <v>5.0000000000000001E-4</v>
      </c>
      <c r="H194" s="269">
        <f t="shared" si="4"/>
        <v>1.2E-2</v>
      </c>
      <c r="I194" s="187"/>
    </row>
    <row r="195" spans="1:9" x14ac:dyDescent="0.25">
      <c r="A195" s="237" t="s">
        <v>86</v>
      </c>
      <c r="B195" s="161" t="s">
        <v>249</v>
      </c>
      <c r="C195" s="159" t="s">
        <v>72</v>
      </c>
      <c r="D195" s="158">
        <v>24</v>
      </c>
      <c r="E195" s="158"/>
      <c r="F195" s="185"/>
      <c r="G195" s="269">
        <v>5.0000000000000001E-4</v>
      </c>
      <c r="H195" s="269">
        <f t="shared" si="4"/>
        <v>1.2E-2</v>
      </c>
      <c r="I195" s="187"/>
    </row>
    <row r="196" spans="1:9" x14ac:dyDescent="0.25">
      <c r="A196" s="237" t="s">
        <v>86</v>
      </c>
      <c r="B196" s="171" t="s">
        <v>211</v>
      </c>
      <c r="C196" s="159" t="s">
        <v>72</v>
      </c>
      <c r="D196" s="158">
        <v>19</v>
      </c>
      <c r="E196" s="158"/>
      <c r="F196" s="185"/>
      <c r="G196" s="269">
        <v>5.0000000000000001E-4</v>
      </c>
      <c r="H196" s="269">
        <f t="shared" si="4"/>
        <v>9.4999999999999998E-3</v>
      </c>
      <c r="I196" s="187"/>
    </row>
    <row r="197" spans="1:9" x14ac:dyDescent="0.25">
      <c r="A197" s="237" t="s">
        <v>86</v>
      </c>
      <c r="B197" s="161" t="s">
        <v>250</v>
      </c>
      <c r="C197" s="159" t="s">
        <v>72</v>
      </c>
      <c r="D197" s="158">
        <v>29</v>
      </c>
      <c r="E197" s="158"/>
      <c r="F197" s="185"/>
      <c r="G197" s="269">
        <v>5.0000000000000001E-4</v>
      </c>
      <c r="H197" s="269">
        <f t="shared" si="4"/>
        <v>1.4500000000000001E-2</v>
      </c>
      <c r="I197" s="187"/>
    </row>
    <row r="198" spans="1:9" x14ac:dyDescent="0.25">
      <c r="A198" s="237" t="s">
        <v>86</v>
      </c>
      <c r="B198" s="161" t="s">
        <v>251</v>
      </c>
      <c r="C198" s="159" t="s">
        <v>72</v>
      </c>
      <c r="D198" s="158">
        <v>30</v>
      </c>
      <c r="E198" s="158"/>
      <c r="F198" s="185"/>
      <c r="G198" s="269">
        <v>5.0000000000000001E-4</v>
      </c>
      <c r="H198" s="269">
        <f t="shared" si="4"/>
        <v>1.4999999999999999E-2</v>
      </c>
      <c r="I198" s="187"/>
    </row>
    <row r="199" spans="1:9" x14ac:dyDescent="0.25">
      <c r="A199" s="237" t="s">
        <v>86</v>
      </c>
      <c r="B199" s="161" t="s">
        <v>253</v>
      </c>
      <c r="C199" s="159" t="s">
        <v>72</v>
      </c>
      <c r="D199" s="158">
        <v>10</v>
      </c>
      <c r="E199" s="158"/>
      <c r="F199" s="185"/>
      <c r="G199" s="269">
        <v>5.0000000000000001E-4</v>
      </c>
      <c r="H199" s="269">
        <f t="shared" si="4"/>
        <v>5.0000000000000001E-3</v>
      </c>
      <c r="I199" s="187"/>
    </row>
    <row r="200" spans="1:9" x14ac:dyDescent="0.25">
      <c r="A200" s="237" t="s">
        <v>86</v>
      </c>
      <c r="B200" s="161" t="s">
        <v>254</v>
      </c>
      <c r="C200" s="159" t="s">
        <v>72</v>
      </c>
      <c r="D200" s="158">
        <v>21</v>
      </c>
      <c r="E200" s="158"/>
      <c r="F200" s="185"/>
      <c r="G200" s="269">
        <v>5.0000000000000001E-4</v>
      </c>
      <c r="H200" s="269">
        <f t="shared" si="4"/>
        <v>1.0500000000000001E-2</v>
      </c>
      <c r="I200" s="187"/>
    </row>
    <row r="201" spans="1:9" x14ac:dyDescent="0.25">
      <c r="A201" s="237" t="s">
        <v>86</v>
      </c>
      <c r="B201" s="161" t="s">
        <v>256</v>
      </c>
      <c r="C201" s="159" t="s">
        <v>72</v>
      </c>
      <c r="D201" s="158">
        <v>7</v>
      </c>
      <c r="E201" s="158"/>
      <c r="F201" s="185"/>
      <c r="G201" s="269">
        <v>5.0000000000000001E-4</v>
      </c>
      <c r="H201" s="269">
        <f t="shared" si="4"/>
        <v>3.5000000000000001E-3</v>
      </c>
      <c r="I201" s="187"/>
    </row>
    <row r="202" spans="1:9" x14ac:dyDescent="0.25">
      <c r="A202" s="237" t="s">
        <v>86</v>
      </c>
      <c r="B202" s="161" t="s">
        <v>258</v>
      </c>
      <c r="C202" s="159" t="s">
        <v>72</v>
      </c>
      <c r="D202" s="158">
        <v>10</v>
      </c>
      <c r="E202" s="158"/>
      <c r="F202" s="185"/>
      <c r="G202" s="269">
        <v>5.0000000000000001E-4</v>
      </c>
      <c r="H202" s="269">
        <f t="shared" si="4"/>
        <v>5.0000000000000001E-3</v>
      </c>
      <c r="I202" s="187"/>
    </row>
    <row r="203" spans="1:9" x14ac:dyDescent="0.25">
      <c r="A203" s="237" t="s">
        <v>86</v>
      </c>
      <c r="B203" s="171" t="s">
        <v>261</v>
      </c>
      <c r="C203" s="159" t="s">
        <v>72</v>
      </c>
      <c r="D203" s="158">
        <v>37</v>
      </c>
      <c r="E203" s="158"/>
      <c r="F203" s="185"/>
      <c r="G203" s="269">
        <v>5.0000000000000001E-4</v>
      </c>
      <c r="H203" s="269">
        <f t="shared" si="4"/>
        <v>1.8499999999999999E-2</v>
      </c>
      <c r="I203" s="187"/>
    </row>
    <row r="204" spans="1:9" x14ac:dyDescent="0.25">
      <c r="A204" s="237" t="s">
        <v>86</v>
      </c>
      <c r="B204" s="161" t="s">
        <v>263</v>
      </c>
      <c r="C204" s="159" t="s">
        <v>72</v>
      </c>
      <c r="D204" s="158">
        <v>24</v>
      </c>
      <c r="E204" s="158"/>
      <c r="F204" s="185"/>
      <c r="G204" s="269">
        <v>5.0000000000000001E-4</v>
      </c>
      <c r="H204" s="269">
        <f t="shared" si="4"/>
        <v>1.2E-2</v>
      </c>
      <c r="I204" s="187"/>
    </row>
    <row r="205" spans="1:9" x14ac:dyDescent="0.25">
      <c r="A205" s="237" t="s">
        <v>86</v>
      </c>
      <c r="B205" s="161" t="s">
        <v>264</v>
      </c>
      <c r="C205" s="159" t="s">
        <v>72</v>
      </c>
      <c r="D205" s="158">
        <v>23</v>
      </c>
      <c r="E205" s="158"/>
      <c r="F205" s="185"/>
      <c r="G205" s="269">
        <v>5.0000000000000001E-4</v>
      </c>
      <c r="H205" s="269">
        <f t="shared" si="4"/>
        <v>1.15E-2</v>
      </c>
      <c r="I205" s="187"/>
    </row>
    <row r="206" spans="1:9" x14ac:dyDescent="0.25">
      <c r="A206" s="237" t="s">
        <v>86</v>
      </c>
      <c r="B206" s="161" t="s">
        <v>265</v>
      </c>
      <c r="C206" s="159" t="s">
        <v>72</v>
      </c>
      <c r="D206" s="158">
        <v>16</v>
      </c>
      <c r="E206" s="158"/>
      <c r="F206" s="185"/>
      <c r="G206" s="269">
        <v>5.0000000000000001E-4</v>
      </c>
      <c r="H206" s="269">
        <f t="shared" si="4"/>
        <v>8.0000000000000002E-3</v>
      </c>
      <c r="I206" s="187"/>
    </row>
    <row r="207" spans="1:9" x14ac:dyDescent="0.25">
      <c r="A207" s="237" t="s">
        <v>86</v>
      </c>
      <c r="B207" s="161" t="s">
        <v>266</v>
      </c>
      <c r="C207" s="159" t="s">
        <v>72</v>
      </c>
      <c r="D207" s="158">
        <v>18</v>
      </c>
      <c r="E207" s="158"/>
      <c r="F207" s="185"/>
      <c r="G207" s="269">
        <v>5.0000000000000001E-4</v>
      </c>
      <c r="H207" s="269">
        <f t="shared" si="4"/>
        <v>9.0000000000000011E-3</v>
      </c>
      <c r="I207" s="187"/>
    </row>
    <row r="208" spans="1:9" x14ac:dyDescent="0.25">
      <c r="A208" s="237" t="s">
        <v>86</v>
      </c>
      <c r="B208" s="161" t="s">
        <v>268</v>
      </c>
      <c r="C208" s="159" t="s">
        <v>72</v>
      </c>
      <c r="D208" s="158">
        <v>21</v>
      </c>
      <c r="E208" s="158"/>
      <c r="F208" s="185"/>
      <c r="G208" s="269">
        <v>5.0000000000000001E-4</v>
      </c>
      <c r="H208" s="269">
        <f t="shared" si="4"/>
        <v>1.0500000000000001E-2</v>
      </c>
      <c r="I208" s="187"/>
    </row>
    <row r="209" spans="1:9" x14ac:dyDescent="0.25">
      <c r="A209" s="237" t="s">
        <v>86</v>
      </c>
      <c r="B209" s="161" t="s">
        <v>354</v>
      </c>
      <c r="C209" s="159" t="s">
        <v>72</v>
      </c>
      <c r="D209" s="158">
        <v>5</v>
      </c>
      <c r="E209" s="158"/>
      <c r="F209" s="185"/>
      <c r="G209" s="269">
        <v>5.0000000000000001E-4</v>
      </c>
      <c r="H209" s="269">
        <f t="shared" si="4"/>
        <v>2.5000000000000001E-3</v>
      </c>
      <c r="I209" s="187"/>
    </row>
    <row r="210" spans="1:9" x14ac:dyDescent="0.25">
      <c r="A210" s="237" t="s">
        <v>86</v>
      </c>
      <c r="B210" s="161" t="s">
        <v>270</v>
      </c>
      <c r="C210" s="159" t="s">
        <v>72</v>
      </c>
      <c r="D210" s="158">
        <v>8</v>
      </c>
      <c r="E210" s="158"/>
      <c r="F210" s="185"/>
      <c r="G210" s="269">
        <v>5.0000000000000001E-4</v>
      </c>
      <c r="H210" s="269">
        <f t="shared" ref="H210:H215" si="5">G210*D210</f>
        <v>4.0000000000000001E-3</v>
      </c>
      <c r="I210" s="187"/>
    </row>
    <row r="211" spans="1:9" x14ac:dyDescent="0.25">
      <c r="A211" s="237" t="s">
        <v>86</v>
      </c>
      <c r="B211" s="171" t="s">
        <v>463</v>
      </c>
      <c r="C211" s="159" t="s">
        <v>72</v>
      </c>
      <c r="D211" s="158">
        <v>20</v>
      </c>
      <c r="E211" s="158"/>
      <c r="F211" s="185"/>
      <c r="G211" s="269">
        <v>5.0000000000000001E-4</v>
      </c>
      <c r="H211" s="269">
        <f t="shared" si="5"/>
        <v>0.01</v>
      </c>
      <c r="I211" s="187"/>
    </row>
    <row r="212" spans="1:9" x14ac:dyDescent="0.25">
      <c r="A212" s="237" t="s">
        <v>86</v>
      </c>
      <c r="B212" s="171" t="s">
        <v>212</v>
      </c>
      <c r="C212" s="159" t="s">
        <v>72</v>
      </c>
      <c r="D212" s="158">
        <v>15</v>
      </c>
      <c r="E212" s="158"/>
      <c r="F212" s="185"/>
      <c r="G212" s="269">
        <v>5.0000000000000001E-4</v>
      </c>
      <c r="H212" s="269">
        <f t="shared" si="5"/>
        <v>7.4999999999999997E-3</v>
      </c>
      <c r="I212" s="187"/>
    </row>
    <row r="213" spans="1:9" x14ac:dyDescent="0.25">
      <c r="A213" s="237" t="s">
        <v>86</v>
      </c>
      <c r="B213" s="171" t="s">
        <v>422</v>
      </c>
      <c r="C213" s="159" t="s">
        <v>72</v>
      </c>
      <c r="D213" s="158">
        <v>14</v>
      </c>
      <c r="E213" s="158"/>
      <c r="F213" s="185"/>
      <c r="G213" s="269">
        <v>5.0000000000000001E-4</v>
      </c>
      <c r="H213" s="269">
        <f t="shared" si="5"/>
        <v>7.0000000000000001E-3</v>
      </c>
      <c r="I213" s="187"/>
    </row>
    <row r="214" spans="1:9" x14ac:dyDescent="0.25">
      <c r="A214" s="237" t="s">
        <v>86</v>
      </c>
      <c r="B214" s="171" t="s">
        <v>464</v>
      </c>
      <c r="C214" s="159" t="s">
        <v>72</v>
      </c>
      <c r="D214" s="158">
        <v>12</v>
      </c>
      <c r="E214" s="158"/>
      <c r="F214" s="185"/>
      <c r="G214" s="269">
        <v>5.0000000000000001E-4</v>
      </c>
      <c r="H214" s="269">
        <f t="shared" si="5"/>
        <v>6.0000000000000001E-3</v>
      </c>
      <c r="I214" s="187"/>
    </row>
    <row r="215" spans="1:9" x14ac:dyDescent="0.25">
      <c r="A215" s="237" t="s">
        <v>86</v>
      </c>
      <c r="B215" s="171" t="s">
        <v>215</v>
      </c>
      <c r="C215" s="159" t="s">
        <v>72</v>
      </c>
      <c r="D215" s="158">
        <v>15</v>
      </c>
      <c r="E215" s="158"/>
      <c r="F215" s="185"/>
      <c r="G215" s="269">
        <v>5.0000000000000001E-4</v>
      </c>
      <c r="H215" s="269">
        <f t="shared" si="5"/>
        <v>7.4999999999999997E-3</v>
      </c>
      <c r="I215" s="187"/>
    </row>
    <row r="216" spans="1:9" x14ac:dyDescent="0.25">
      <c r="A216" s="237"/>
      <c r="B216" s="171"/>
      <c r="C216" s="159" t="s">
        <v>72</v>
      </c>
      <c r="D216" s="173">
        <f>SUM(D180:D215)</f>
        <v>664</v>
      </c>
      <c r="E216" s="158"/>
      <c r="F216" s="185"/>
      <c r="G216" s="269"/>
      <c r="H216" s="269"/>
      <c r="I216" s="187"/>
    </row>
    <row r="217" spans="1:9" x14ac:dyDescent="0.25">
      <c r="A217" s="237"/>
      <c r="B217" s="376" t="s">
        <v>318</v>
      </c>
      <c r="C217" s="159"/>
      <c r="D217" s="158"/>
      <c r="E217" s="158"/>
      <c r="F217" s="185"/>
      <c r="G217" s="269"/>
      <c r="H217" s="269"/>
      <c r="I217" s="187"/>
    </row>
    <row r="218" spans="1:9" x14ac:dyDescent="0.25">
      <c r="A218" s="237" t="s">
        <v>86</v>
      </c>
      <c r="B218" s="171" t="s">
        <v>283</v>
      </c>
      <c r="C218" s="159" t="s">
        <v>72</v>
      </c>
      <c r="D218" s="158">
        <v>3700</v>
      </c>
      <c r="E218" s="158"/>
      <c r="F218" s="185"/>
      <c r="G218" s="269"/>
      <c r="H218" s="269"/>
      <c r="I218" s="187"/>
    </row>
    <row r="219" spans="1:9" x14ac:dyDescent="0.25">
      <c r="A219" s="237" t="s">
        <v>86</v>
      </c>
      <c r="B219" s="161" t="s">
        <v>285</v>
      </c>
      <c r="C219" s="159" t="s">
        <v>72</v>
      </c>
      <c r="D219" s="158">
        <v>300</v>
      </c>
      <c r="E219" s="158"/>
      <c r="F219" s="185"/>
      <c r="G219" s="269"/>
      <c r="H219" s="269"/>
      <c r="I219" s="187"/>
    </row>
    <row r="220" spans="1:9" x14ac:dyDescent="0.25">
      <c r="A220" s="237" t="s">
        <v>86</v>
      </c>
      <c r="B220" s="161" t="s">
        <v>287</v>
      </c>
      <c r="C220" s="159" t="s">
        <v>72</v>
      </c>
      <c r="D220" s="158">
        <v>300</v>
      </c>
      <c r="E220" s="158"/>
      <c r="F220" s="185"/>
      <c r="G220" s="269"/>
      <c r="H220" s="269"/>
      <c r="I220" s="187"/>
    </row>
    <row r="221" spans="1:9" x14ac:dyDescent="0.25">
      <c r="A221" s="237" t="s">
        <v>86</v>
      </c>
      <c r="B221" s="161" t="s">
        <v>289</v>
      </c>
      <c r="C221" s="159" t="s">
        <v>72</v>
      </c>
      <c r="D221" s="158">
        <v>300</v>
      </c>
      <c r="E221" s="158"/>
      <c r="F221" s="185"/>
      <c r="G221" s="269"/>
      <c r="H221" s="269"/>
      <c r="I221" s="187"/>
    </row>
    <row r="222" spans="1:9" x14ac:dyDescent="0.25">
      <c r="A222" s="237" t="s">
        <v>86</v>
      </c>
      <c r="B222" s="161" t="s">
        <v>290</v>
      </c>
      <c r="C222" s="159" t="s">
        <v>72</v>
      </c>
      <c r="D222" s="158">
        <v>300</v>
      </c>
      <c r="E222" s="158"/>
      <c r="F222" s="185"/>
      <c r="G222" s="269"/>
      <c r="H222" s="269"/>
      <c r="I222" s="187"/>
    </row>
    <row r="223" spans="1:9" x14ac:dyDescent="0.25">
      <c r="A223" s="237" t="s">
        <v>86</v>
      </c>
      <c r="B223" s="161" t="s">
        <v>291</v>
      </c>
      <c r="C223" s="159" t="s">
        <v>72</v>
      </c>
      <c r="D223" s="158">
        <v>300</v>
      </c>
      <c r="E223" s="158"/>
      <c r="F223" s="185"/>
      <c r="G223" s="269"/>
      <c r="H223" s="269"/>
      <c r="I223" s="187"/>
    </row>
    <row r="224" spans="1:9" x14ac:dyDescent="0.25">
      <c r="A224" s="237" t="s">
        <v>86</v>
      </c>
      <c r="B224" s="161" t="s">
        <v>280</v>
      </c>
      <c r="C224" s="159" t="s">
        <v>72</v>
      </c>
      <c r="D224" s="158">
        <v>75</v>
      </c>
      <c r="E224" s="158"/>
      <c r="F224" s="185"/>
      <c r="G224" s="269"/>
      <c r="H224" s="269"/>
      <c r="I224" s="187"/>
    </row>
    <row r="225" spans="1:11" x14ac:dyDescent="0.25">
      <c r="A225" s="237" t="s">
        <v>86</v>
      </c>
      <c r="B225" s="161" t="s">
        <v>281</v>
      </c>
      <c r="C225" s="159" t="s">
        <v>72</v>
      </c>
      <c r="D225" s="158">
        <v>75</v>
      </c>
      <c r="E225" s="158"/>
      <c r="F225" s="185"/>
      <c r="G225" s="269"/>
      <c r="H225" s="269"/>
      <c r="I225" s="187"/>
    </row>
    <row r="226" spans="1:11" x14ac:dyDescent="0.25">
      <c r="A226" s="237" t="s">
        <v>86</v>
      </c>
      <c r="B226" s="161" t="s">
        <v>282</v>
      </c>
      <c r="C226" s="159" t="s">
        <v>72</v>
      </c>
      <c r="D226" s="158">
        <v>75</v>
      </c>
      <c r="E226" s="158"/>
      <c r="F226" s="185"/>
      <c r="G226" s="269"/>
      <c r="H226" s="269"/>
      <c r="I226" s="187"/>
    </row>
    <row r="227" spans="1:11" x14ac:dyDescent="0.25">
      <c r="A227" s="237"/>
      <c r="B227" s="157"/>
      <c r="C227" s="159" t="s">
        <v>72</v>
      </c>
      <c r="D227" s="173">
        <f>SUM(D218:D226)</f>
        <v>5425</v>
      </c>
      <c r="E227" s="158"/>
      <c r="F227" s="185"/>
      <c r="G227" s="269"/>
      <c r="H227" s="269"/>
      <c r="I227" s="187"/>
    </row>
    <row r="228" spans="1:11" ht="14.4" x14ac:dyDescent="0.25">
      <c r="A228" s="237" t="s">
        <v>86</v>
      </c>
      <c r="B228" s="156" t="s">
        <v>103</v>
      </c>
      <c r="C228" s="159" t="s">
        <v>76</v>
      </c>
      <c r="D228" s="158">
        <f>4*1.05</f>
        <v>4.2</v>
      </c>
      <c r="E228" s="158"/>
      <c r="F228" s="185"/>
      <c r="G228" s="269">
        <v>1.5</v>
      </c>
      <c r="H228" s="269">
        <f>G228*D228</f>
        <v>6.3000000000000007</v>
      </c>
      <c r="I228" s="187"/>
      <c r="J228" s="251"/>
      <c r="K228" s="251"/>
    </row>
    <row r="229" spans="1:11" ht="14.4" x14ac:dyDescent="0.25">
      <c r="A229" s="237" t="s">
        <v>86</v>
      </c>
      <c r="B229" s="156" t="s">
        <v>142</v>
      </c>
      <c r="C229" s="159" t="s">
        <v>76</v>
      </c>
      <c r="D229" s="158">
        <f>4*1.05</f>
        <v>4.2</v>
      </c>
      <c r="E229" s="158"/>
      <c r="F229" s="185"/>
      <c r="G229" s="269">
        <v>1</v>
      </c>
      <c r="H229" s="269">
        <f>G229*D229</f>
        <v>4.2</v>
      </c>
      <c r="I229" s="187"/>
      <c r="J229" s="251"/>
      <c r="K229" s="251"/>
    </row>
    <row r="230" spans="1:11" ht="14.4" x14ac:dyDescent="0.25">
      <c r="A230" s="237" t="s">
        <v>86</v>
      </c>
      <c r="B230" s="156" t="s">
        <v>143</v>
      </c>
      <c r="C230" s="159" t="s">
        <v>76</v>
      </c>
      <c r="D230" s="158">
        <f>4.4*1.05</f>
        <v>4.620000000000001</v>
      </c>
      <c r="E230" s="158"/>
      <c r="F230" s="185"/>
      <c r="G230" s="269">
        <v>0.7</v>
      </c>
      <c r="H230" s="269">
        <f>G230*D230</f>
        <v>3.2340000000000004</v>
      </c>
      <c r="I230" s="187"/>
      <c r="J230" s="251"/>
      <c r="K230" s="251"/>
    </row>
    <row r="231" spans="1:11" ht="14.4" x14ac:dyDescent="0.25">
      <c r="A231" s="237" t="s">
        <v>86</v>
      </c>
      <c r="B231" s="156" t="s">
        <v>357</v>
      </c>
      <c r="C231" s="159" t="s">
        <v>72</v>
      </c>
      <c r="D231" s="158">
        <f>D216</f>
        <v>664</v>
      </c>
      <c r="E231" s="158"/>
      <c r="F231" s="185"/>
      <c r="G231" s="269"/>
      <c r="H231" s="269"/>
      <c r="I231" s="187"/>
      <c r="J231" s="251"/>
      <c r="K231" s="251"/>
    </row>
    <row r="232" spans="1:11" ht="14.4" x14ac:dyDescent="0.25">
      <c r="A232" s="237" t="s">
        <v>86</v>
      </c>
      <c r="B232" s="156" t="s">
        <v>146</v>
      </c>
      <c r="C232" s="159" t="s">
        <v>72</v>
      </c>
      <c r="D232" s="158">
        <v>24</v>
      </c>
      <c r="E232" s="158"/>
      <c r="F232" s="185"/>
      <c r="G232" s="269">
        <f>(0.00089*0.6)</f>
        <v>5.3399999999999997E-4</v>
      </c>
      <c r="H232" s="269">
        <f>G232*D232</f>
        <v>1.2815999999999999E-2</v>
      </c>
      <c r="I232" s="187"/>
      <c r="J232" s="251"/>
      <c r="K232" s="251"/>
    </row>
    <row r="233" spans="1:11" ht="14.4" x14ac:dyDescent="0.25">
      <c r="A233" s="237" t="s">
        <v>86</v>
      </c>
      <c r="B233" s="156" t="s">
        <v>408</v>
      </c>
      <c r="C233" s="159" t="s">
        <v>105</v>
      </c>
      <c r="D233" s="158">
        <v>36</v>
      </c>
      <c r="E233" s="158"/>
      <c r="F233" s="185"/>
      <c r="G233" s="269"/>
      <c r="H233" s="269"/>
      <c r="I233" s="187"/>
      <c r="J233" s="251"/>
      <c r="K233" s="251"/>
    </row>
    <row r="234" spans="1:11" ht="14.4" x14ac:dyDescent="0.25">
      <c r="A234" s="237" t="s">
        <v>79</v>
      </c>
      <c r="B234" s="156" t="s">
        <v>409</v>
      </c>
      <c r="C234" s="159" t="s">
        <v>105</v>
      </c>
      <c r="D234" s="158">
        <f>D233</f>
        <v>36</v>
      </c>
      <c r="E234" s="158"/>
      <c r="F234" s="185"/>
      <c r="G234" s="269"/>
      <c r="H234" s="269"/>
      <c r="I234" s="187"/>
      <c r="J234" s="251"/>
      <c r="K234" s="251"/>
    </row>
    <row r="235" spans="1:11" ht="14.4" x14ac:dyDescent="0.25">
      <c r="A235" s="237" t="s">
        <v>79</v>
      </c>
      <c r="B235" s="156" t="s">
        <v>145</v>
      </c>
      <c r="C235" s="159" t="s">
        <v>75</v>
      </c>
      <c r="D235" s="158">
        <f>D178</f>
        <v>88.3</v>
      </c>
      <c r="E235" s="158"/>
      <c r="F235" s="185"/>
      <c r="G235" s="269"/>
      <c r="H235" s="269"/>
      <c r="I235" s="187"/>
      <c r="J235" s="251"/>
      <c r="K235" s="251"/>
    </row>
    <row r="236" spans="1:11" ht="14.4" x14ac:dyDescent="0.25">
      <c r="A236" s="237" t="s">
        <v>85</v>
      </c>
      <c r="B236" s="156" t="s">
        <v>131</v>
      </c>
      <c r="C236" s="159" t="s">
        <v>76</v>
      </c>
      <c r="D236" s="158">
        <f>D228+D229</f>
        <v>8.4</v>
      </c>
      <c r="E236" s="158"/>
      <c r="F236" s="185"/>
      <c r="G236" s="269"/>
      <c r="H236" s="269"/>
      <c r="I236" s="187"/>
      <c r="J236" s="251"/>
      <c r="K236" s="251"/>
    </row>
    <row r="237" spans="1:11" ht="14.4" x14ac:dyDescent="0.25">
      <c r="A237" s="237" t="s">
        <v>87</v>
      </c>
      <c r="B237" s="156" t="s">
        <v>88</v>
      </c>
      <c r="C237" s="159" t="s">
        <v>76</v>
      </c>
      <c r="D237" s="158">
        <f>D236</f>
        <v>8.4</v>
      </c>
      <c r="E237" s="158"/>
      <c r="F237" s="185"/>
      <c r="G237" s="269"/>
      <c r="H237" s="269"/>
      <c r="I237" s="187"/>
      <c r="J237" s="251"/>
      <c r="K237" s="251"/>
    </row>
    <row r="238" spans="1:11" ht="14.4" x14ac:dyDescent="0.25">
      <c r="A238" s="237" t="s">
        <v>89</v>
      </c>
      <c r="B238" s="156" t="s">
        <v>90</v>
      </c>
      <c r="C238" s="159" t="s">
        <v>76</v>
      </c>
      <c r="D238" s="158">
        <f>D236</f>
        <v>8.4</v>
      </c>
      <c r="E238" s="158"/>
      <c r="F238" s="185"/>
      <c r="G238" s="269"/>
      <c r="H238" s="269"/>
      <c r="I238" s="187"/>
      <c r="J238" s="251"/>
      <c r="K238" s="251"/>
    </row>
    <row r="239" spans="1:11" ht="14.4" x14ac:dyDescent="0.25">
      <c r="A239" s="237" t="s">
        <v>139</v>
      </c>
      <c r="B239" s="156" t="s">
        <v>198</v>
      </c>
      <c r="C239" s="159" t="s">
        <v>75</v>
      </c>
      <c r="D239" s="158">
        <f>D178</f>
        <v>88.3</v>
      </c>
      <c r="E239" s="158"/>
      <c r="F239" s="185"/>
      <c r="G239" s="269"/>
      <c r="H239" s="269"/>
      <c r="I239" s="187"/>
      <c r="J239" s="251"/>
      <c r="K239" s="251"/>
    </row>
    <row r="240" spans="1:11" x14ac:dyDescent="0.25">
      <c r="A240" s="237" t="s">
        <v>91</v>
      </c>
      <c r="B240" s="156" t="s">
        <v>125</v>
      </c>
      <c r="C240" s="159" t="s">
        <v>75</v>
      </c>
      <c r="D240" s="158">
        <f>D178*2</f>
        <v>176.6</v>
      </c>
      <c r="E240" s="158"/>
      <c r="F240" s="185"/>
      <c r="G240" s="269"/>
      <c r="H240" s="269"/>
      <c r="I240" s="187"/>
      <c r="J240" s="249"/>
      <c r="K240" s="249"/>
    </row>
    <row r="241" spans="1:9" x14ac:dyDescent="0.25">
      <c r="A241" s="237" t="s">
        <v>92</v>
      </c>
      <c r="B241" s="156" t="s">
        <v>294</v>
      </c>
      <c r="C241" s="159" t="s">
        <v>75</v>
      </c>
      <c r="D241" s="158">
        <f>D178*2</f>
        <v>176.6</v>
      </c>
      <c r="E241" s="158"/>
      <c r="F241" s="185"/>
      <c r="G241" s="269"/>
      <c r="H241" s="269"/>
      <c r="I241" s="187"/>
    </row>
    <row r="242" spans="1:9" x14ac:dyDescent="0.25">
      <c r="A242" s="237" t="s">
        <v>201</v>
      </c>
      <c r="B242" s="156" t="s">
        <v>140</v>
      </c>
      <c r="C242" s="159" t="s">
        <v>72</v>
      </c>
      <c r="D242" s="158">
        <f>D216</f>
        <v>664</v>
      </c>
      <c r="E242" s="158"/>
      <c r="F242" s="185"/>
      <c r="G242" s="269"/>
      <c r="H242" s="269"/>
      <c r="I242" s="187"/>
    </row>
    <row r="243" spans="1:9" ht="20.399999999999999" x14ac:dyDescent="0.25">
      <c r="A243" s="237" t="s">
        <v>199</v>
      </c>
      <c r="B243" s="156" t="s">
        <v>200</v>
      </c>
      <c r="C243" s="159" t="s">
        <v>72</v>
      </c>
      <c r="D243" s="158">
        <f>D216</f>
        <v>664</v>
      </c>
      <c r="E243" s="158"/>
      <c r="F243" s="185"/>
      <c r="G243" s="269"/>
      <c r="H243" s="269"/>
      <c r="I243" s="187"/>
    </row>
    <row r="244" spans="1:9" x14ac:dyDescent="0.25">
      <c r="A244" s="237" t="s">
        <v>201</v>
      </c>
      <c r="B244" s="156" t="s">
        <v>140</v>
      </c>
      <c r="C244" s="159" t="s">
        <v>72</v>
      </c>
      <c r="D244" s="158">
        <f>D227</f>
        <v>5425</v>
      </c>
      <c r="E244" s="158"/>
      <c r="F244" s="185"/>
      <c r="G244" s="269"/>
      <c r="H244" s="269"/>
      <c r="I244" s="187"/>
    </row>
    <row r="245" spans="1:9" x14ac:dyDescent="0.25">
      <c r="A245" s="237" t="s">
        <v>295</v>
      </c>
      <c r="B245" s="156" t="s">
        <v>296</v>
      </c>
      <c r="C245" s="159" t="s">
        <v>72</v>
      </c>
      <c r="D245" s="158">
        <f>D227</f>
        <v>5425</v>
      </c>
      <c r="E245" s="158"/>
      <c r="F245" s="185"/>
      <c r="G245" s="269"/>
      <c r="H245" s="269"/>
      <c r="I245" s="187"/>
    </row>
    <row r="246" spans="1:9" x14ac:dyDescent="0.25">
      <c r="A246" s="237" t="s">
        <v>95</v>
      </c>
      <c r="B246" s="156" t="s">
        <v>124</v>
      </c>
      <c r="C246" s="159" t="s">
        <v>77</v>
      </c>
      <c r="D246" s="158">
        <f>(D231/100000)</f>
        <v>6.6400000000000001E-3</v>
      </c>
      <c r="E246" s="158"/>
      <c r="F246" s="185"/>
      <c r="G246" s="269"/>
      <c r="H246" s="269"/>
      <c r="I246" s="187"/>
    </row>
    <row r="247" spans="1:9" x14ac:dyDescent="0.25">
      <c r="A247" s="237" t="s">
        <v>121</v>
      </c>
      <c r="B247" s="156" t="s">
        <v>147</v>
      </c>
      <c r="C247" s="159" t="s">
        <v>75</v>
      </c>
      <c r="D247" s="158">
        <f>D178</f>
        <v>88.3</v>
      </c>
      <c r="E247" s="158"/>
      <c r="F247" s="185"/>
      <c r="G247" s="269"/>
      <c r="H247" s="269"/>
      <c r="I247" s="187"/>
    </row>
    <row r="248" spans="1:9" x14ac:dyDescent="0.25">
      <c r="A248" s="237" t="s">
        <v>98</v>
      </c>
      <c r="B248" s="156" t="s">
        <v>99</v>
      </c>
      <c r="C248" s="159" t="s">
        <v>76</v>
      </c>
      <c r="D248" s="158">
        <f>D178*0.02</f>
        <v>1.766</v>
      </c>
      <c r="E248" s="158"/>
      <c r="F248" s="185"/>
      <c r="G248" s="269"/>
      <c r="H248" s="269"/>
      <c r="I248" s="187"/>
    </row>
    <row r="249" spans="1:9" ht="13.8" thickBot="1" x14ac:dyDescent="0.3">
      <c r="A249" s="237" t="s">
        <v>100</v>
      </c>
      <c r="B249" s="156" t="s">
        <v>101</v>
      </c>
      <c r="C249" s="159" t="s">
        <v>77</v>
      </c>
      <c r="D249" s="158">
        <f>H249</f>
        <v>14.078816000000002</v>
      </c>
      <c r="E249" s="158"/>
      <c r="F249" s="185"/>
      <c r="G249" s="269"/>
      <c r="H249" s="269">
        <f>SUM(H178:H248)</f>
        <v>14.078816000000002</v>
      </c>
      <c r="I249" s="187"/>
    </row>
    <row r="250" spans="1:9" ht="13.8" thickBot="1" x14ac:dyDescent="0.3">
      <c r="A250" s="291"/>
      <c r="B250" s="206" t="s">
        <v>183</v>
      </c>
      <c r="C250" s="207" t="s">
        <v>75</v>
      </c>
      <c r="D250" s="400">
        <v>18.399999999999999</v>
      </c>
      <c r="E250" s="194"/>
      <c r="F250" s="195"/>
      <c r="G250" s="283"/>
      <c r="H250" s="283"/>
      <c r="I250" s="318">
        <f>SUM(F251:F291)</f>
        <v>0</v>
      </c>
    </row>
    <row r="251" spans="1:9" x14ac:dyDescent="0.25">
      <c r="A251" s="241"/>
      <c r="B251" s="204" t="s">
        <v>159</v>
      </c>
      <c r="C251" s="205"/>
      <c r="D251" s="189"/>
      <c r="E251" s="189"/>
      <c r="F251" s="190"/>
      <c r="G251" s="282"/>
      <c r="H251" s="282"/>
      <c r="I251" s="187"/>
    </row>
    <row r="252" spans="1:9" x14ac:dyDescent="0.25">
      <c r="A252" s="237" t="s">
        <v>86</v>
      </c>
      <c r="B252" s="171" t="s">
        <v>211</v>
      </c>
      <c r="C252" s="159" t="s">
        <v>72</v>
      </c>
      <c r="D252" s="158">
        <v>6</v>
      </c>
      <c r="E252" s="158"/>
      <c r="F252" s="185"/>
      <c r="G252" s="269">
        <v>5.0000000000000001E-4</v>
      </c>
      <c r="H252" s="269">
        <f t="shared" ref="H252:H275" si="6">G252*D252</f>
        <v>3.0000000000000001E-3</v>
      </c>
      <c r="I252" s="187"/>
    </row>
    <row r="253" spans="1:9" x14ac:dyDescent="0.25">
      <c r="A253" s="237" t="s">
        <v>86</v>
      </c>
      <c r="B253" s="171" t="s">
        <v>250</v>
      </c>
      <c r="C253" s="159" t="s">
        <v>72</v>
      </c>
      <c r="D253" s="158">
        <v>15</v>
      </c>
      <c r="E253" s="158"/>
      <c r="F253" s="185"/>
      <c r="G253" s="269">
        <v>5.0000000000000001E-4</v>
      </c>
      <c r="H253" s="269">
        <f t="shared" si="6"/>
        <v>7.4999999999999997E-3</v>
      </c>
      <c r="I253" s="187"/>
    </row>
    <row r="254" spans="1:9" x14ac:dyDescent="0.25">
      <c r="A254" s="237" t="s">
        <v>86</v>
      </c>
      <c r="B254" s="171" t="s">
        <v>260</v>
      </c>
      <c r="C254" s="159" t="s">
        <v>72</v>
      </c>
      <c r="D254" s="158">
        <v>12</v>
      </c>
      <c r="E254" s="158"/>
      <c r="F254" s="185"/>
      <c r="G254" s="269">
        <v>5.0000000000000001E-4</v>
      </c>
      <c r="H254" s="269">
        <f t="shared" si="6"/>
        <v>6.0000000000000001E-3</v>
      </c>
      <c r="I254" s="187"/>
    </row>
    <row r="255" spans="1:9" x14ac:dyDescent="0.25">
      <c r="A255" s="237" t="s">
        <v>86</v>
      </c>
      <c r="B255" s="171" t="s">
        <v>262</v>
      </c>
      <c r="C255" s="159" t="s">
        <v>72</v>
      </c>
      <c r="D255" s="158">
        <v>10</v>
      </c>
      <c r="E255" s="158"/>
      <c r="F255" s="185"/>
      <c r="G255" s="269">
        <v>5.0000000000000001E-4</v>
      </c>
      <c r="H255" s="269">
        <f t="shared" si="6"/>
        <v>5.0000000000000001E-3</v>
      </c>
      <c r="I255" s="187"/>
    </row>
    <row r="256" spans="1:9" x14ac:dyDescent="0.25">
      <c r="A256" s="237" t="s">
        <v>86</v>
      </c>
      <c r="B256" s="171" t="s">
        <v>265</v>
      </c>
      <c r="C256" s="159" t="s">
        <v>72</v>
      </c>
      <c r="D256" s="158">
        <v>15</v>
      </c>
      <c r="E256" s="158"/>
      <c r="F256" s="185"/>
      <c r="G256" s="269">
        <v>5.0000000000000001E-4</v>
      </c>
      <c r="H256" s="269">
        <f t="shared" si="6"/>
        <v>7.4999999999999997E-3</v>
      </c>
      <c r="I256" s="187"/>
    </row>
    <row r="257" spans="1:9" x14ac:dyDescent="0.25">
      <c r="A257" s="237" t="s">
        <v>86</v>
      </c>
      <c r="B257" s="171" t="s">
        <v>266</v>
      </c>
      <c r="C257" s="159" t="s">
        <v>72</v>
      </c>
      <c r="D257" s="158">
        <v>24</v>
      </c>
      <c r="E257" s="158"/>
      <c r="F257" s="185"/>
      <c r="G257" s="269">
        <v>5.0000000000000001E-4</v>
      </c>
      <c r="H257" s="269">
        <f t="shared" si="6"/>
        <v>1.2E-2</v>
      </c>
      <c r="I257" s="187"/>
    </row>
    <row r="258" spans="1:9" x14ac:dyDescent="0.25">
      <c r="A258" s="237" t="s">
        <v>86</v>
      </c>
      <c r="B258" s="171" t="s">
        <v>268</v>
      </c>
      <c r="C258" s="159" t="s">
        <v>72</v>
      </c>
      <c r="D258" s="158">
        <v>28</v>
      </c>
      <c r="E258" s="158"/>
      <c r="F258" s="185"/>
      <c r="G258" s="269">
        <v>5.0000000000000001E-4</v>
      </c>
      <c r="H258" s="269">
        <f t="shared" si="6"/>
        <v>1.4E-2</v>
      </c>
      <c r="I258" s="187"/>
    </row>
    <row r="259" spans="1:9" x14ac:dyDescent="0.25">
      <c r="A259" s="237" t="s">
        <v>86</v>
      </c>
      <c r="B259" s="171" t="s">
        <v>270</v>
      </c>
      <c r="C259" s="159" t="s">
        <v>72</v>
      </c>
      <c r="D259" s="158">
        <v>3</v>
      </c>
      <c r="E259" s="158"/>
      <c r="F259" s="185"/>
      <c r="G259" s="269">
        <v>5.0000000000000001E-4</v>
      </c>
      <c r="H259" s="269">
        <f t="shared" si="6"/>
        <v>1.5E-3</v>
      </c>
      <c r="I259" s="187"/>
    </row>
    <row r="260" spans="1:9" x14ac:dyDescent="0.25">
      <c r="A260" s="237" t="s">
        <v>86</v>
      </c>
      <c r="B260" s="160" t="s">
        <v>463</v>
      </c>
      <c r="C260" s="159" t="s">
        <v>72</v>
      </c>
      <c r="D260" s="158">
        <v>7</v>
      </c>
      <c r="E260" s="158"/>
      <c r="F260" s="185"/>
      <c r="G260" s="269">
        <v>5.0000000000000001E-4</v>
      </c>
      <c r="H260" s="269">
        <f t="shared" si="6"/>
        <v>3.5000000000000001E-3</v>
      </c>
      <c r="I260" s="187"/>
    </row>
    <row r="261" spans="1:9" x14ac:dyDescent="0.25">
      <c r="A261" s="237" t="s">
        <v>86</v>
      </c>
      <c r="B261" s="160" t="s">
        <v>422</v>
      </c>
      <c r="C261" s="159" t="s">
        <v>72</v>
      </c>
      <c r="D261" s="158">
        <v>9</v>
      </c>
      <c r="E261" s="158"/>
      <c r="F261" s="185"/>
      <c r="G261" s="269">
        <v>5.0000000000000001E-4</v>
      </c>
      <c r="H261" s="269">
        <f t="shared" si="6"/>
        <v>4.5000000000000005E-3</v>
      </c>
      <c r="I261" s="187"/>
    </row>
    <row r="262" spans="1:9" x14ac:dyDescent="0.25">
      <c r="A262" s="237" t="s">
        <v>86</v>
      </c>
      <c r="B262" s="160" t="s">
        <v>465</v>
      </c>
      <c r="C262" s="159" t="s">
        <v>72</v>
      </c>
      <c r="D262" s="158">
        <v>5</v>
      </c>
      <c r="E262" s="158"/>
      <c r="F262" s="185"/>
      <c r="G262" s="269">
        <v>5.0000000000000001E-4</v>
      </c>
      <c r="H262" s="269">
        <f t="shared" si="6"/>
        <v>2.5000000000000001E-3</v>
      </c>
      <c r="I262" s="187"/>
    </row>
    <row r="263" spans="1:9" x14ac:dyDescent="0.25">
      <c r="A263" s="237" t="s">
        <v>86</v>
      </c>
      <c r="B263" s="160" t="s">
        <v>464</v>
      </c>
      <c r="C263" s="159" t="s">
        <v>72</v>
      </c>
      <c r="D263" s="158">
        <v>3</v>
      </c>
      <c r="E263" s="158"/>
      <c r="F263" s="185"/>
      <c r="G263" s="269">
        <v>5.0000000000000001E-4</v>
      </c>
      <c r="H263" s="269">
        <f t="shared" si="6"/>
        <v>1.5E-3</v>
      </c>
      <c r="I263" s="187"/>
    </row>
    <row r="264" spans="1:9" x14ac:dyDescent="0.25">
      <c r="A264" s="237"/>
      <c r="B264" s="157"/>
      <c r="C264" s="159" t="s">
        <v>72</v>
      </c>
      <c r="D264" s="173">
        <f>SUM(D252:D263)</f>
        <v>137</v>
      </c>
      <c r="E264" s="158"/>
      <c r="F264" s="185"/>
      <c r="G264" s="269"/>
      <c r="H264" s="269"/>
      <c r="I264" s="187"/>
    </row>
    <row r="265" spans="1:9" x14ac:dyDescent="0.25">
      <c r="A265" s="237"/>
      <c r="B265" s="157" t="s">
        <v>318</v>
      </c>
      <c r="C265" s="159"/>
      <c r="D265" s="158"/>
      <c r="E265" s="158"/>
      <c r="F265" s="185"/>
      <c r="G265" s="269"/>
      <c r="H265" s="269"/>
      <c r="I265" s="187"/>
    </row>
    <row r="266" spans="1:9" x14ac:dyDescent="0.25">
      <c r="A266" s="237" t="s">
        <v>86</v>
      </c>
      <c r="B266" s="161" t="s">
        <v>279</v>
      </c>
      <c r="C266" s="159" t="s">
        <v>72</v>
      </c>
      <c r="D266" s="158">
        <v>540</v>
      </c>
      <c r="E266" s="158"/>
      <c r="F266" s="185"/>
      <c r="G266" s="269"/>
      <c r="H266" s="269"/>
      <c r="I266" s="187"/>
    </row>
    <row r="267" spans="1:9" x14ac:dyDescent="0.25">
      <c r="A267" s="237" t="s">
        <v>86</v>
      </c>
      <c r="B267" s="161" t="s">
        <v>285</v>
      </c>
      <c r="C267" s="159" t="s">
        <v>72</v>
      </c>
      <c r="D267" s="158">
        <v>39</v>
      </c>
      <c r="E267" s="158"/>
      <c r="F267" s="185"/>
      <c r="G267" s="269"/>
      <c r="H267" s="269"/>
      <c r="I267" s="187"/>
    </row>
    <row r="268" spans="1:9" x14ac:dyDescent="0.25">
      <c r="A268" s="237" t="s">
        <v>86</v>
      </c>
      <c r="B268" s="161" t="s">
        <v>287</v>
      </c>
      <c r="C268" s="159" t="s">
        <v>72</v>
      </c>
      <c r="D268" s="158">
        <v>39</v>
      </c>
      <c r="E268" s="158"/>
      <c r="F268" s="185"/>
      <c r="G268" s="269"/>
      <c r="H268" s="269"/>
      <c r="I268" s="187"/>
    </row>
    <row r="269" spans="1:9" x14ac:dyDescent="0.25">
      <c r="A269" s="237" t="s">
        <v>86</v>
      </c>
      <c r="B269" s="161" t="s">
        <v>289</v>
      </c>
      <c r="C269" s="159" t="s">
        <v>72</v>
      </c>
      <c r="D269" s="158">
        <v>39</v>
      </c>
      <c r="E269" s="158"/>
      <c r="F269" s="185"/>
      <c r="G269" s="269"/>
      <c r="H269" s="269"/>
      <c r="I269" s="187"/>
    </row>
    <row r="270" spans="1:9" x14ac:dyDescent="0.25">
      <c r="A270" s="237" t="s">
        <v>86</v>
      </c>
      <c r="B270" s="161" t="s">
        <v>290</v>
      </c>
      <c r="C270" s="159" t="s">
        <v>72</v>
      </c>
      <c r="D270" s="158">
        <v>39</v>
      </c>
      <c r="E270" s="158"/>
      <c r="F270" s="185"/>
      <c r="G270" s="269"/>
      <c r="H270" s="269"/>
      <c r="I270" s="187"/>
    </row>
    <row r="271" spans="1:9" x14ac:dyDescent="0.25">
      <c r="A271" s="237" t="s">
        <v>86</v>
      </c>
      <c r="B271" s="161" t="s">
        <v>291</v>
      </c>
      <c r="C271" s="159" t="s">
        <v>72</v>
      </c>
      <c r="D271" s="158">
        <v>39</v>
      </c>
      <c r="E271" s="158"/>
      <c r="F271" s="185"/>
      <c r="G271" s="269"/>
      <c r="H271" s="269"/>
      <c r="I271" s="187"/>
    </row>
    <row r="272" spans="1:9" x14ac:dyDescent="0.25">
      <c r="A272" s="237"/>
      <c r="B272" s="161"/>
      <c r="C272" s="159" t="s">
        <v>72</v>
      </c>
      <c r="D272" s="173">
        <f>SUM(D266:D271)</f>
        <v>735</v>
      </c>
      <c r="E272" s="158"/>
      <c r="F272" s="185"/>
      <c r="G272" s="269"/>
      <c r="H272" s="269"/>
      <c r="I272" s="187"/>
    </row>
    <row r="273" spans="1:9" x14ac:dyDescent="0.25">
      <c r="A273" s="237" t="s">
        <v>86</v>
      </c>
      <c r="B273" s="156" t="s">
        <v>103</v>
      </c>
      <c r="C273" s="159" t="s">
        <v>76</v>
      </c>
      <c r="D273" s="158">
        <f>0.82*1.05</f>
        <v>0.86099999999999999</v>
      </c>
      <c r="E273" s="158"/>
      <c r="F273" s="185"/>
      <c r="G273" s="269">
        <v>1.5</v>
      </c>
      <c r="H273" s="269">
        <f t="shared" si="6"/>
        <v>1.2915000000000001</v>
      </c>
      <c r="I273" s="187"/>
    </row>
    <row r="274" spans="1:9" x14ac:dyDescent="0.25">
      <c r="A274" s="237" t="s">
        <v>86</v>
      </c>
      <c r="B274" s="156" t="s">
        <v>142</v>
      </c>
      <c r="C274" s="159" t="s">
        <v>76</v>
      </c>
      <c r="D274" s="158">
        <f>0.82*1.05</f>
        <v>0.86099999999999999</v>
      </c>
      <c r="E274" s="158"/>
      <c r="F274" s="185"/>
      <c r="G274" s="269">
        <v>1</v>
      </c>
      <c r="H274" s="269">
        <f t="shared" si="6"/>
        <v>0.86099999999999999</v>
      </c>
      <c r="I274" s="187"/>
    </row>
    <row r="275" spans="1:9" x14ac:dyDescent="0.25">
      <c r="A275" s="237" t="s">
        <v>86</v>
      </c>
      <c r="B275" s="156" t="s">
        <v>143</v>
      </c>
      <c r="C275" s="159" t="s">
        <v>76</v>
      </c>
      <c r="D275" s="158">
        <f>0.92*1.05</f>
        <v>0.96600000000000008</v>
      </c>
      <c r="E275" s="158"/>
      <c r="F275" s="185"/>
      <c r="G275" s="269">
        <v>0.7</v>
      </c>
      <c r="H275" s="269">
        <f t="shared" si="6"/>
        <v>0.67620000000000002</v>
      </c>
      <c r="I275" s="187"/>
    </row>
    <row r="276" spans="1:9" x14ac:dyDescent="0.25">
      <c r="A276" s="237" t="s">
        <v>86</v>
      </c>
      <c r="B276" s="156" t="s">
        <v>356</v>
      </c>
      <c r="C276" s="159" t="s">
        <v>72</v>
      </c>
      <c r="D276" s="158">
        <f>D264</f>
        <v>137</v>
      </c>
      <c r="E276" s="158"/>
      <c r="F276" s="185"/>
      <c r="G276" s="269"/>
      <c r="H276" s="269"/>
      <c r="I276" s="187"/>
    </row>
    <row r="277" spans="1:9" x14ac:dyDescent="0.25">
      <c r="A277" s="237" t="s">
        <v>79</v>
      </c>
      <c r="B277" s="156" t="s">
        <v>145</v>
      </c>
      <c r="C277" s="159" t="s">
        <v>75</v>
      </c>
      <c r="D277" s="158">
        <f>D250</f>
        <v>18.399999999999999</v>
      </c>
      <c r="E277" s="158"/>
      <c r="F277" s="185"/>
      <c r="G277" s="269"/>
      <c r="H277" s="269"/>
      <c r="I277" s="187"/>
    </row>
    <row r="278" spans="1:9" x14ac:dyDescent="0.25">
      <c r="A278" s="237" t="s">
        <v>85</v>
      </c>
      <c r="B278" s="156" t="s">
        <v>131</v>
      </c>
      <c r="C278" s="159" t="s">
        <v>76</v>
      </c>
      <c r="D278" s="158">
        <f>D274+D273</f>
        <v>1.722</v>
      </c>
      <c r="E278" s="158"/>
      <c r="F278" s="185"/>
      <c r="G278" s="269"/>
      <c r="H278" s="269"/>
      <c r="I278" s="187"/>
    </row>
    <row r="279" spans="1:9" x14ac:dyDescent="0.25">
      <c r="A279" s="237" t="s">
        <v>87</v>
      </c>
      <c r="B279" s="156" t="s">
        <v>88</v>
      </c>
      <c r="C279" s="159" t="s">
        <v>76</v>
      </c>
      <c r="D279" s="158">
        <f>D278</f>
        <v>1.722</v>
      </c>
      <c r="E279" s="158"/>
      <c r="F279" s="185"/>
      <c r="G279" s="269"/>
      <c r="H279" s="269"/>
      <c r="I279" s="187"/>
    </row>
    <row r="280" spans="1:9" x14ac:dyDescent="0.25">
      <c r="A280" s="237" t="s">
        <v>89</v>
      </c>
      <c r="B280" s="156" t="s">
        <v>90</v>
      </c>
      <c r="C280" s="159" t="s">
        <v>76</v>
      </c>
      <c r="D280" s="158">
        <f>D278</f>
        <v>1.722</v>
      </c>
      <c r="E280" s="158"/>
      <c r="F280" s="185"/>
      <c r="G280" s="269"/>
      <c r="H280" s="269"/>
      <c r="I280" s="187"/>
    </row>
    <row r="281" spans="1:9" x14ac:dyDescent="0.25">
      <c r="A281" s="237" t="s">
        <v>139</v>
      </c>
      <c r="B281" s="156" t="s">
        <v>198</v>
      </c>
      <c r="C281" s="159" t="s">
        <v>75</v>
      </c>
      <c r="D281" s="158">
        <f>D250</f>
        <v>18.399999999999999</v>
      </c>
      <c r="E281" s="158"/>
      <c r="F281" s="185"/>
      <c r="G281" s="269"/>
      <c r="H281" s="269"/>
      <c r="I281" s="187"/>
    </row>
    <row r="282" spans="1:9" x14ac:dyDescent="0.25">
      <c r="A282" s="237" t="s">
        <v>91</v>
      </c>
      <c r="B282" s="156" t="s">
        <v>125</v>
      </c>
      <c r="C282" s="159" t="s">
        <v>75</v>
      </c>
      <c r="D282" s="158">
        <f>D250*2</f>
        <v>36.799999999999997</v>
      </c>
      <c r="E282" s="158"/>
      <c r="F282" s="185"/>
      <c r="G282" s="269"/>
      <c r="H282" s="269"/>
      <c r="I282" s="187"/>
    </row>
    <row r="283" spans="1:9" x14ac:dyDescent="0.25">
      <c r="A283" s="237" t="s">
        <v>92</v>
      </c>
      <c r="B283" s="156" t="s">
        <v>294</v>
      </c>
      <c r="C283" s="159" t="s">
        <v>75</v>
      </c>
      <c r="D283" s="158">
        <f>D250*2</f>
        <v>36.799999999999997</v>
      </c>
      <c r="E283" s="158"/>
      <c r="F283" s="185"/>
      <c r="G283" s="269"/>
      <c r="H283" s="269"/>
      <c r="I283" s="187"/>
    </row>
    <row r="284" spans="1:9" x14ac:dyDescent="0.25">
      <c r="A284" s="237" t="s">
        <v>201</v>
      </c>
      <c r="B284" s="156" t="s">
        <v>140</v>
      </c>
      <c r="C284" s="159" t="s">
        <v>72</v>
      </c>
      <c r="D284" s="158">
        <f>D264</f>
        <v>137</v>
      </c>
      <c r="E284" s="158"/>
      <c r="F284" s="185"/>
      <c r="G284" s="269"/>
      <c r="H284" s="269"/>
      <c r="I284" s="187"/>
    </row>
    <row r="285" spans="1:9" ht="20.399999999999999" x14ac:dyDescent="0.25">
      <c r="A285" s="237" t="s">
        <v>199</v>
      </c>
      <c r="B285" s="156" t="s">
        <v>200</v>
      </c>
      <c r="C285" s="159" t="s">
        <v>72</v>
      </c>
      <c r="D285" s="158">
        <f>D264</f>
        <v>137</v>
      </c>
      <c r="E285" s="158"/>
      <c r="F285" s="185"/>
      <c r="G285" s="269"/>
      <c r="H285" s="269"/>
      <c r="I285" s="187"/>
    </row>
    <row r="286" spans="1:9" x14ac:dyDescent="0.25">
      <c r="A286" s="237" t="s">
        <v>201</v>
      </c>
      <c r="B286" s="156" t="s">
        <v>140</v>
      </c>
      <c r="C286" s="159" t="s">
        <v>72</v>
      </c>
      <c r="D286" s="158">
        <f>D272</f>
        <v>735</v>
      </c>
      <c r="E286" s="158"/>
      <c r="F286" s="185"/>
      <c r="G286" s="269"/>
      <c r="H286" s="269"/>
      <c r="I286" s="187"/>
    </row>
    <row r="287" spans="1:9" x14ac:dyDescent="0.25">
      <c r="A287" s="237" t="s">
        <v>295</v>
      </c>
      <c r="B287" s="156" t="s">
        <v>296</v>
      </c>
      <c r="C287" s="159" t="s">
        <v>72</v>
      </c>
      <c r="D287" s="158">
        <f>D272</f>
        <v>735</v>
      </c>
      <c r="E287" s="158"/>
      <c r="F287" s="185"/>
      <c r="G287" s="269"/>
      <c r="H287" s="269"/>
      <c r="I287" s="187"/>
    </row>
    <row r="288" spans="1:9" x14ac:dyDescent="0.25">
      <c r="A288" s="237" t="s">
        <v>95</v>
      </c>
      <c r="B288" s="156" t="s">
        <v>124</v>
      </c>
      <c r="C288" s="159" t="s">
        <v>77</v>
      </c>
      <c r="D288" s="158">
        <f>(D276/100000)</f>
        <v>1.3699999999999999E-3</v>
      </c>
      <c r="E288" s="158"/>
      <c r="F288" s="185"/>
      <c r="G288" s="269"/>
      <c r="H288" s="269"/>
      <c r="I288" s="187"/>
    </row>
    <row r="289" spans="1:9" x14ac:dyDescent="0.25">
      <c r="A289" s="237" t="s">
        <v>121</v>
      </c>
      <c r="B289" s="156" t="s">
        <v>147</v>
      </c>
      <c r="C289" s="159" t="s">
        <v>75</v>
      </c>
      <c r="D289" s="158">
        <f>D250</f>
        <v>18.399999999999999</v>
      </c>
      <c r="E289" s="158"/>
      <c r="F289" s="185"/>
      <c r="G289" s="269"/>
      <c r="H289" s="269"/>
      <c r="I289" s="187"/>
    </row>
    <row r="290" spans="1:9" x14ac:dyDescent="0.25">
      <c r="A290" s="237" t="s">
        <v>98</v>
      </c>
      <c r="B290" s="156" t="s">
        <v>468</v>
      </c>
      <c r="C290" s="159" t="s">
        <v>76</v>
      </c>
      <c r="D290" s="158">
        <f>D250*0.02</f>
        <v>0.36799999999999999</v>
      </c>
      <c r="E290" s="158"/>
      <c r="F290" s="185"/>
      <c r="G290" s="269"/>
      <c r="H290" s="269"/>
      <c r="I290" s="187"/>
    </row>
    <row r="291" spans="1:9" ht="13.8" thickBot="1" x14ac:dyDescent="0.3">
      <c r="A291" s="237" t="s">
        <v>100</v>
      </c>
      <c r="B291" s="156" t="s">
        <v>101</v>
      </c>
      <c r="C291" s="159" t="s">
        <v>77</v>
      </c>
      <c r="D291" s="158">
        <f>H291</f>
        <v>2.8972000000000002</v>
      </c>
      <c r="E291" s="158"/>
      <c r="F291" s="185"/>
      <c r="G291" s="269"/>
      <c r="H291" s="269">
        <f>SUM(H250:H290)</f>
        <v>2.8972000000000002</v>
      </c>
      <c r="I291" s="187"/>
    </row>
    <row r="292" spans="1:9" ht="13.8" thickBot="1" x14ac:dyDescent="0.3">
      <c r="A292" s="291"/>
      <c r="B292" s="206" t="s">
        <v>184</v>
      </c>
      <c r="C292" s="207" t="s">
        <v>75</v>
      </c>
      <c r="D292" s="400">
        <v>54.3</v>
      </c>
      <c r="E292" s="194"/>
      <c r="F292" s="195"/>
      <c r="G292" s="283"/>
      <c r="H292" s="283"/>
      <c r="I292" s="318">
        <f>SUM(F293:F348)</f>
        <v>0</v>
      </c>
    </row>
    <row r="293" spans="1:9" x14ac:dyDescent="0.25">
      <c r="A293" s="241"/>
      <c r="B293" s="204" t="s">
        <v>159</v>
      </c>
      <c r="C293" s="205" t="s">
        <v>75</v>
      </c>
      <c r="D293" s="401">
        <v>54.3</v>
      </c>
      <c r="E293" s="189"/>
      <c r="F293" s="190"/>
      <c r="G293" s="282"/>
      <c r="H293" s="282"/>
      <c r="I293" s="187"/>
    </row>
    <row r="294" spans="1:9" x14ac:dyDescent="0.25">
      <c r="A294" s="237" t="s">
        <v>86</v>
      </c>
      <c r="B294" s="161" t="s">
        <v>219</v>
      </c>
      <c r="C294" s="159" t="s">
        <v>72</v>
      </c>
      <c r="D294" s="402">
        <v>20</v>
      </c>
      <c r="E294" s="158"/>
      <c r="F294" s="185"/>
      <c r="G294" s="269">
        <v>5.0000000000000001E-4</v>
      </c>
      <c r="H294" s="269">
        <f t="shared" ref="H294:H316" si="7">G294*D294</f>
        <v>0.01</v>
      </c>
      <c r="I294" s="187"/>
    </row>
    <row r="295" spans="1:9" x14ac:dyDescent="0.25">
      <c r="A295" s="237" t="s">
        <v>86</v>
      </c>
      <c r="B295" s="161" t="s">
        <v>234</v>
      </c>
      <c r="C295" s="159" t="s">
        <v>72</v>
      </c>
      <c r="D295" s="402">
        <v>21</v>
      </c>
      <c r="E295" s="158"/>
      <c r="F295" s="185"/>
      <c r="G295" s="269">
        <v>5.0000000000000001E-4</v>
      </c>
      <c r="H295" s="269">
        <f t="shared" si="7"/>
        <v>1.0500000000000001E-2</v>
      </c>
      <c r="I295" s="187"/>
    </row>
    <row r="296" spans="1:9" x14ac:dyDescent="0.25">
      <c r="A296" s="237" t="s">
        <v>86</v>
      </c>
      <c r="B296" s="161" t="s">
        <v>205</v>
      </c>
      <c r="C296" s="159" t="s">
        <v>72</v>
      </c>
      <c r="D296" s="402">
        <v>7</v>
      </c>
      <c r="E296" s="158"/>
      <c r="F296" s="185"/>
      <c r="G296" s="269">
        <v>5.0000000000000001E-4</v>
      </c>
      <c r="H296" s="269">
        <f t="shared" si="7"/>
        <v>3.5000000000000001E-3</v>
      </c>
      <c r="I296" s="187"/>
    </row>
    <row r="297" spans="1:9" x14ac:dyDescent="0.25">
      <c r="A297" s="237" t="s">
        <v>86</v>
      </c>
      <c r="B297" s="171" t="s">
        <v>244</v>
      </c>
      <c r="C297" s="159" t="s">
        <v>72</v>
      </c>
      <c r="D297" s="402">
        <v>24</v>
      </c>
      <c r="E297" s="158"/>
      <c r="F297" s="185"/>
      <c r="G297" s="269">
        <v>5.0000000000000001E-4</v>
      </c>
      <c r="H297" s="269">
        <f t="shared" si="7"/>
        <v>1.2E-2</v>
      </c>
      <c r="I297" s="187"/>
    </row>
    <row r="298" spans="1:9" x14ac:dyDescent="0.25">
      <c r="A298" s="237" t="s">
        <v>86</v>
      </c>
      <c r="B298" s="171" t="s">
        <v>248</v>
      </c>
      <c r="C298" s="159" t="s">
        <v>72</v>
      </c>
      <c r="D298" s="402">
        <v>13</v>
      </c>
      <c r="E298" s="158"/>
      <c r="F298" s="185"/>
      <c r="G298" s="269">
        <v>5.0000000000000001E-4</v>
      </c>
      <c r="H298" s="269">
        <f t="shared" si="7"/>
        <v>6.5000000000000006E-3</v>
      </c>
      <c r="I298" s="187"/>
    </row>
    <row r="299" spans="1:9" x14ac:dyDescent="0.25">
      <c r="A299" s="237" t="s">
        <v>86</v>
      </c>
      <c r="B299" s="171" t="s">
        <v>249</v>
      </c>
      <c r="C299" s="159" t="s">
        <v>72</v>
      </c>
      <c r="D299" s="402">
        <v>13</v>
      </c>
      <c r="E299" s="158"/>
      <c r="F299" s="185"/>
      <c r="G299" s="269">
        <v>5.0000000000000001E-4</v>
      </c>
      <c r="H299" s="269">
        <f t="shared" si="7"/>
        <v>6.5000000000000006E-3</v>
      </c>
      <c r="I299" s="187"/>
    </row>
    <row r="300" spans="1:9" x14ac:dyDescent="0.25">
      <c r="A300" s="237" t="s">
        <v>86</v>
      </c>
      <c r="B300" s="171" t="s">
        <v>211</v>
      </c>
      <c r="C300" s="159" t="s">
        <v>72</v>
      </c>
      <c r="D300" s="402">
        <v>29</v>
      </c>
      <c r="E300" s="158"/>
      <c r="F300" s="185"/>
      <c r="G300" s="269">
        <v>5.0000000000000001E-4</v>
      </c>
      <c r="H300" s="269">
        <f t="shared" si="7"/>
        <v>1.4500000000000001E-2</v>
      </c>
      <c r="I300" s="187"/>
    </row>
    <row r="301" spans="1:9" x14ac:dyDescent="0.25">
      <c r="A301" s="237" t="s">
        <v>86</v>
      </c>
      <c r="B301" s="171" t="s">
        <v>250</v>
      </c>
      <c r="C301" s="159" t="s">
        <v>72</v>
      </c>
      <c r="D301" s="402">
        <v>15</v>
      </c>
      <c r="E301" s="158"/>
      <c r="F301" s="185"/>
      <c r="G301" s="269">
        <v>5.0000000000000001E-4</v>
      </c>
      <c r="H301" s="269">
        <f t="shared" si="7"/>
        <v>7.4999999999999997E-3</v>
      </c>
      <c r="I301" s="187"/>
    </row>
    <row r="302" spans="1:9" x14ac:dyDescent="0.25">
      <c r="A302" s="237" t="s">
        <v>86</v>
      </c>
      <c r="B302" s="171" t="s">
        <v>257</v>
      </c>
      <c r="C302" s="159" t="s">
        <v>133</v>
      </c>
      <c r="D302" s="402">
        <v>5</v>
      </c>
      <c r="E302" s="158"/>
      <c r="F302" s="185"/>
      <c r="G302" s="269">
        <v>5.0000000000000001E-4</v>
      </c>
      <c r="H302" s="269">
        <f t="shared" si="7"/>
        <v>2.5000000000000001E-3</v>
      </c>
      <c r="I302" s="187"/>
    </row>
    <row r="303" spans="1:9" x14ac:dyDescent="0.25">
      <c r="A303" s="237" t="s">
        <v>86</v>
      </c>
      <c r="B303" s="171" t="s">
        <v>253</v>
      </c>
      <c r="C303" s="159" t="s">
        <v>72</v>
      </c>
      <c r="D303" s="402">
        <v>10</v>
      </c>
      <c r="E303" s="158"/>
      <c r="F303" s="185"/>
      <c r="G303" s="269">
        <v>5.0000000000000001E-4</v>
      </c>
      <c r="H303" s="269">
        <f t="shared" si="7"/>
        <v>5.0000000000000001E-3</v>
      </c>
      <c r="I303" s="187"/>
    </row>
    <row r="304" spans="1:9" x14ac:dyDescent="0.25">
      <c r="A304" s="237" t="s">
        <v>86</v>
      </c>
      <c r="B304" s="171" t="s">
        <v>254</v>
      </c>
      <c r="C304" s="159" t="s">
        <v>72</v>
      </c>
      <c r="D304" s="402">
        <v>11</v>
      </c>
      <c r="E304" s="158"/>
      <c r="F304" s="185"/>
      <c r="G304" s="269">
        <v>5.0000000000000001E-4</v>
      </c>
      <c r="H304" s="269">
        <f t="shared" si="7"/>
        <v>5.4999999999999997E-3</v>
      </c>
      <c r="I304" s="187"/>
    </row>
    <row r="305" spans="1:9" x14ac:dyDescent="0.25">
      <c r="A305" s="237" t="s">
        <v>86</v>
      </c>
      <c r="B305" s="171" t="s">
        <v>256</v>
      </c>
      <c r="C305" s="159" t="s">
        <v>72</v>
      </c>
      <c r="D305" s="402">
        <v>11</v>
      </c>
      <c r="E305" s="158"/>
      <c r="F305" s="185"/>
      <c r="G305" s="269">
        <v>5.0000000000000001E-4</v>
      </c>
      <c r="H305" s="269">
        <f t="shared" si="7"/>
        <v>5.4999999999999997E-3</v>
      </c>
      <c r="I305" s="187"/>
    </row>
    <row r="306" spans="1:9" x14ac:dyDescent="0.25">
      <c r="A306" s="237" t="s">
        <v>86</v>
      </c>
      <c r="B306" s="171" t="s">
        <v>260</v>
      </c>
      <c r="C306" s="159" t="s">
        <v>72</v>
      </c>
      <c r="D306" s="402">
        <v>25</v>
      </c>
      <c r="E306" s="158"/>
      <c r="F306" s="185"/>
      <c r="G306" s="269">
        <v>5.0000000000000001E-4</v>
      </c>
      <c r="H306" s="269">
        <f t="shared" si="7"/>
        <v>1.2500000000000001E-2</v>
      </c>
      <c r="I306" s="187"/>
    </row>
    <row r="307" spans="1:9" x14ac:dyDescent="0.25">
      <c r="A307" s="237" t="s">
        <v>86</v>
      </c>
      <c r="B307" s="171" t="s">
        <v>262</v>
      </c>
      <c r="C307" s="159" t="s">
        <v>72</v>
      </c>
      <c r="D307" s="402">
        <v>30</v>
      </c>
      <c r="E307" s="158"/>
      <c r="F307" s="185"/>
      <c r="G307" s="269">
        <v>5.0000000000000001E-4</v>
      </c>
      <c r="H307" s="269">
        <f t="shared" si="7"/>
        <v>1.4999999999999999E-2</v>
      </c>
      <c r="I307" s="187"/>
    </row>
    <row r="308" spans="1:9" x14ac:dyDescent="0.25">
      <c r="A308" s="237" t="s">
        <v>86</v>
      </c>
      <c r="B308" s="171" t="s">
        <v>265</v>
      </c>
      <c r="C308" s="159" t="s">
        <v>72</v>
      </c>
      <c r="D308" s="402">
        <v>14</v>
      </c>
      <c r="E308" s="158"/>
      <c r="F308" s="185"/>
      <c r="G308" s="269">
        <v>5.0000000000000001E-4</v>
      </c>
      <c r="H308" s="269">
        <f t="shared" si="7"/>
        <v>7.0000000000000001E-3</v>
      </c>
      <c r="I308" s="187"/>
    </row>
    <row r="309" spans="1:9" x14ac:dyDescent="0.25">
      <c r="A309" s="237" t="s">
        <v>86</v>
      </c>
      <c r="B309" s="171" t="s">
        <v>266</v>
      </c>
      <c r="C309" s="159" t="s">
        <v>72</v>
      </c>
      <c r="D309" s="402">
        <v>32</v>
      </c>
      <c r="E309" s="158"/>
      <c r="F309" s="185"/>
      <c r="G309" s="269">
        <v>5.0000000000000001E-4</v>
      </c>
      <c r="H309" s="269">
        <f t="shared" si="7"/>
        <v>1.6E-2</v>
      </c>
      <c r="I309" s="187"/>
    </row>
    <row r="310" spans="1:9" x14ac:dyDescent="0.25">
      <c r="A310" s="237" t="s">
        <v>86</v>
      </c>
      <c r="B310" s="171" t="s">
        <v>268</v>
      </c>
      <c r="C310" s="159" t="s">
        <v>72</v>
      </c>
      <c r="D310" s="402">
        <v>25</v>
      </c>
      <c r="E310" s="158"/>
      <c r="F310" s="185"/>
      <c r="G310" s="269">
        <v>5.0000000000000001E-4</v>
      </c>
      <c r="H310" s="269">
        <f t="shared" si="7"/>
        <v>1.2500000000000001E-2</v>
      </c>
      <c r="I310" s="187"/>
    </row>
    <row r="311" spans="1:9" x14ac:dyDescent="0.25">
      <c r="A311" s="237" t="s">
        <v>86</v>
      </c>
      <c r="B311" s="171" t="s">
        <v>269</v>
      </c>
      <c r="C311" s="159" t="s">
        <v>72</v>
      </c>
      <c r="D311" s="402">
        <v>8</v>
      </c>
      <c r="E311" s="158"/>
      <c r="F311" s="185"/>
      <c r="G311" s="269">
        <v>5.0000000000000001E-4</v>
      </c>
      <c r="H311" s="269">
        <f t="shared" si="7"/>
        <v>4.0000000000000001E-3</v>
      </c>
      <c r="I311" s="187"/>
    </row>
    <row r="312" spans="1:9" x14ac:dyDescent="0.25">
      <c r="A312" s="237" t="s">
        <v>86</v>
      </c>
      <c r="B312" s="171" t="s">
        <v>270</v>
      </c>
      <c r="C312" s="159" t="s">
        <v>72</v>
      </c>
      <c r="D312" s="402">
        <v>3</v>
      </c>
      <c r="E312" s="158"/>
      <c r="F312" s="185"/>
      <c r="G312" s="269">
        <v>5.0000000000000001E-4</v>
      </c>
      <c r="H312" s="269">
        <f t="shared" si="7"/>
        <v>1.5E-3</v>
      </c>
      <c r="I312" s="187"/>
    </row>
    <row r="313" spans="1:9" x14ac:dyDescent="0.25">
      <c r="A313" s="237" t="s">
        <v>86</v>
      </c>
      <c r="B313" s="160" t="s">
        <v>463</v>
      </c>
      <c r="C313" s="159" t="s">
        <v>72</v>
      </c>
      <c r="D313" s="402">
        <v>8</v>
      </c>
      <c r="E313" s="158"/>
      <c r="F313" s="185"/>
      <c r="G313" s="269">
        <v>5.0000000000000001E-4</v>
      </c>
      <c r="H313" s="269">
        <f t="shared" si="7"/>
        <v>4.0000000000000001E-3</v>
      </c>
      <c r="I313" s="187"/>
    </row>
    <row r="314" spans="1:9" x14ac:dyDescent="0.25">
      <c r="A314" s="237" t="s">
        <v>86</v>
      </c>
      <c r="B314" s="160" t="s">
        <v>422</v>
      </c>
      <c r="C314" s="159" t="s">
        <v>72</v>
      </c>
      <c r="D314" s="402">
        <v>32</v>
      </c>
      <c r="E314" s="158"/>
      <c r="F314" s="185"/>
      <c r="G314" s="269">
        <v>5.0000000000000001E-4</v>
      </c>
      <c r="H314" s="269">
        <f t="shared" si="7"/>
        <v>1.6E-2</v>
      </c>
      <c r="I314" s="187"/>
    </row>
    <row r="315" spans="1:9" x14ac:dyDescent="0.25">
      <c r="A315" s="237" t="s">
        <v>86</v>
      </c>
      <c r="B315" s="160" t="s">
        <v>465</v>
      </c>
      <c r="C315" s="159" t="s">
        <v>72</v>
      </c>
      <c r="D315" s="402">
        <v>12</v>
      </c>
      <c r="E315" s="158"/>
      <c r="F315" s="185"/>
      <c r="G315" s="269">
        <v>5.0000000000000001E-4</v>
      </c>
      <c r="H315" s="269">
        <f t="shared" si="7"/>
        <v>6.0000000000000001E-3</v>
      </c>
      <c r="I315" s="187"/>
    </row>
    <row r="316" spans="1:9" x14ac:dyDescent="0.25">
      <c r="A316" s="237" t="s">
        <v>86</v>
      </c>
      <c r="B316" s="160" t="s">
        <v>464</v>
      </c>
      <c r="C316" s="159" t="s">
        <v>72</v>
      </c>
      <c r="D316" s="402">
        <v>27</v>
      </c>
      <c r="E316" s="158"/>
      <c r="F316" s="185"/>
      <c r="G316" s="269">
        <v>5.0000000000000001E-4</v>
      </c>
      <c r="H316" s="269">
        <f t="shared" si="7"/>
        <v>1.35E-2</v>
      </c>
      <c r="I316" s="187"/>
    </row>
    <row r="317" spans="1:9" x14ac:dyDescent="0.25">
      <c r="A317" s="237"/>
      <c r="B317" s="157"/>
      <c r="C317" s="159" t="s">
        <v>72</v>
      </c>
      <c r="D317" s="403">
        <f>SUM(D294:D316)</f>
        <v>395</v>
      </c>
      <c r="E317" s="402"/>
      <c r="F317" s="402"/>
      <c r="G317" s="269"/>
      <c r="H317" s="269"/>
      <c r="I317" s="187"/>
    </row>
    <row r="318" spans="1:9" x14ac:dyDescent="0.25">
      <c r="A318" s="237" t="s">
        <v>86</v>
      </c>
      <c r="B318" s="157" t="s">
        <v>318</v>
      </c>
      <c r="C318" s="159"/>
      <c r="D318" s="402"/>
      <c r="E318" s="158"/>
      <c r="F318" s="185"/>
      <c r="G318" s="269"/>
      <c r="H318" s="269"/>
      <c r="I318" s="187"/>
    </row>
    <row r="319" spans="1:9" x14ac:dyDescent="0.25">
      <c r="A319" s="237" t="s">
        <v>86</v>
      </c>
      <c r="B319" s="161" t="s">
        <v>279</v>
      </c>
      <c r="C319" s="159" t="s">
        <v>72</v>
      </c>
      <c r="D319" s="402">
        <v>1600</v>
      </c>
      <c r="E319" s="158"/>
      <c r="F319" s="185"/>
      <c r="G319" s="269"/>
      <c r="H319" s="269"/>
      <c r="I319" s="187"/>
    </row>
    <row r="320" spans="1:9" x14ac:dyDescent="0.25">
      <c r="A320" s="237" t="s">
        <v>86</v>
      </c>
      <c r="B320" s="161" t="s">
        <v>285</v>
      </c>
      <c r="C320" s="159" t="s">
        <v>72</v>
      </c>
      <c r="D320" s="402">
        <v>141</v>
      </c>
      <c r="E320" s="158"/>
      <c r="F320" s="185"/>
      <c r="G320" s="269"/>
      <c r="H320" s="269"/>
      <c r="I320" s="187"/>
    </row>
    <row r="321" spans="1:9" x14ac:dyDescent="0.25">
      <c r="A321" s="237" t="s">
        <v>86</v>
      </c>
      <c r="B321" s="161" t="s">
        <v>287</v>
      </c>
      <c r="C321" s="159" t="s">
        <v>72</v>
      </c>
      <c r="D321" s="402">
        <v>141</v>
      </c>
      <c r="E321" s="158"/>
      <c r="F321" s="185"/>
      <c r="G321" s="269"/>
      <c r="H321" s="269"/>
      <c r="I321" s="187"/>
    </row>
    <row r="322" spans="1:9" x14ac:dyDescent="0.25">
      <c r="A322" s="237" t="s">
        <v>86</v>
      </c>
      <c r="B322" s="161" t="s">
        <v>289</v>
      </c>
      <c r="C322" s="159" t="s">
        <v>72</v>
      </c>
      <c r="D322" s="402">
        <v>141</v>
      </c>
      <c r="E322" s="158"/>
      <c r="F322" s="185"/>
      <c r="G322" s="269"/>
      <c r="H322" s="269"/>
      <c r="I322" s="187"/>
    </row>
    <row r="323" spans="1:9" x14ac:dyDescent="0.25">
      <c r="A323" s="237" t="s">
        <v>86</v>
      </c>
      <c r="B323" s="161" t="s">
        <v>290</v>
      </c>
      <c r="C323" s="159" t="s">
        <v>72</v>
      </c>
      <c r="D323" s="402">
        <v>141</v>
      </c>
      <c r="E323" s="158"/>
      <c r="F323" s="185"/>
      <c r="G323" s="269"/>
      <c r="H323" s="269"/>
      <c r="I323" s="187"/>
    </row>
    <row r="324" spans="1:9" x14ac:dyDescent="0.25">
      <c r="A324" s="237" t="s">
        <v>86</v>
      </c>
      <c r="B324" s="161" t="s">
        <v>291</v>
      </c>
      <c r="C324" s="159" t="s">
        <v>72</v>
      </c>
      <c r="D324" s="402">
        <v>141</v>
      </c>
      <c r="E324" s="158"/>
      <c r="F324" s="185"/>
      <c r="G324" s="269"/>
      <c r="H324" s="269"/>
      <c r="I324" s="187"/>
    </row>
    <row r="325" spans="1:9" x14ac:dyDescent="0.25">
      <c r="A325" s="237"/>
      <c r="B325" s="157"/>
      <c r="C325" s="159" t="s">
        <v>72</v>
      </c>
      <c r="D325" s="403">
        <f>SUM(D319:D324)</f>
        <v>2305</v>
      </c>
      <c r="E325" s="158"/>
      <c r="F325" s="185"/>
      <c r="G325" s="269"/>
      <c r="H325" s="269"/>
      <c r="I325" s="187"/>
    </row>
    <row r="326" spans="1:9" x14ac:dyDescent="0.25">
      <c r="A326" s="237"/>
      <c r="B326" s="157" t="s">
        <v>160</v>
      </c>
      <c r="C326" s="159"/>
      <c r="D326" s="402"/>
      <c r="E326" s="158"/>
      <c r="F326" s="185"/>
      <c r="G326" s="269"/>
      <c r="H326" s="269"/>
      <c r="I326" s="187"/>
    </row>
    <row r="327" spans="1:9" x14ac:dyDescent="0.25">
      <c r="A327" s="237" t="s">
        <v>86</v>
      </c>
      <c r="B327" s="156" t="s">
        <v>297</v>
      </c>
      <c r="C327" s="159" t="s">
        <v>72</v>
      </c>
      <c r="D327" s="403">
        <v>3</v>
      </c>
      <c r="E327" s="158"/>
      <c r="F327" s="185"/>
      <c r="G327" s="269">
        <v>3.0000000000000001E-3</v>
      </c>
      <c r="H327" s="269">
        <f>G327*D327</f>
        <v>9.0000000000000011E-3</v>
      </c>
      <c r="I327" s="187"/>
    </row>
    <row r="328" spans="1:9" x14ac:dyDescent="0.25">
      <c r="A328" s="237" t="s">
        <v>86</v>
      </c>
      <c r="B328" s="156" t="s">
        <v>103</v>
      </c>
      <c r="C328" s="159" t="s">
        <v>76</v>
      </c>
      <c r="D328" s="158">
        <f>2.4*1.05</f>
        <v>2.52</v>
      </c>
      <c r="E328" s="158"/>
      <c r="F328" s="185"/>
      <c r="G328" s="269">
        <v>1.5</v>
      </c>
      <c r="H328" s="269">
        <f>G328*D328</f>
        <v>3.7800000000000002</v>
      </c>
      <c r="I328" s="187"/>
    </row>
    <row r="329" spans="1:9" x14ac:dyDescent="0.25">
      <c r="A329" s="237" t="s">
        <v>86</v>
      </c>
      <c r="B329" s="156" t="s">
        <v>142</v>
      </c>
      <c r="C329" s="159" t="s">
        <v>76</v>
      </c>
      <c r="D329" s="158">
        <f>2.4*1.05</f>
        <v>2.52</v>
      </c>
      <c r="E329" s="158"/>
      <c r="F329" s="185"/>
      <c r="G329" s="269">
        <v>1</v>
      </c>
      <c r="H329" s="269">
        <f>G329*D329</f>
        <v>2.52</v>
      </c>
      <c r="I329" s="187"/>
    </row>
    <row r="330" spans="1:9" x14ac:dyDescent="0.25">
      <c r="A330" s="237" t="s">
        <v>86</v>
      </c>
      <c r="B330" s="156" t="s">
        <v>143</v>
      </c>
      <c r="C330" s="159" t="s">
        <v>76</v>
      </c>
      <c r="D330" s="158">
        <f>2.7*1.05</f>
        <v>2.8350000000000004</v>
      </c>
      <c r="E330" s="158"/>
      <c r="F330" s="185"/>
      <c r="G330" s="269">
        <v>0.7</v>
      </c>
      <c r="H330" s="269">
        <f>G330*D330</f>
        <v>1.9845000000000002</v>
      </c>
      <c r="I330" s="187"/>
    </row>
    <row r="331" spans="1:9" x14ac:dyDescent="0.25">
      <c r="A331" s="237" t="s">
        <v>86</v>
      </c>
      <c r="B331" s="156" t="s">
        <v>356</v>
      </c>
      <c r="C331" s="159" t="s">
        <v>72</v>
      </c>
      <c r="D331" s="158">
        <f>D317</f>
        <v>395</v>
      </c>
      <c r="E331" s="158"/>
      <c r="F331" s="185"/>
      <c r="G331" s="269"/>
      <c r="H331" s="269"/>
      <c r="I331" s="187"/>
    </row>
    <row r="332" spans="1:9" x14ac:dyDescent="0.25">
      <c r="A332" s="237" t="s">
        <v>79</v>
      </c>
      <c r="B332" s="156" t="s">
        <v>145</v>
      </c>
      <c r="C332" s="159" t="s">
        <v>75</v>
      </c>
      <c r="D332" s="158">
        <f>D293</f>
        <v>54.3</v>
      </c>
      <c r="E332" s="158"/>
      <c r="F332" s="185"/>
      <c r="G332" s="269"/>
      <c r="H332" s="269"/>
      <c r="I332" s="187"/>
    </row>
    <row r="333" spans="1:9" x14ac:dyDescent="0.25">
      <c r="A333" s="237" t="s">
        <v>85</v>
      </c>
      <c r="B333" s="156" t="s">
        <v>131</v>
      </c>
      <c r="C333" s="159" t="s">
        <v>76</v>
      </c>
      <c r="D333" s="158">
        <f>D329+D328</f>
        <v>5.04</v>
      </c>
      <c r="E333" s="158"/>
      <c r="F333" s="185"/>
      <c r="G333" s="269"/>
      <c r="H333" s="269"/>
      <c r="I333" s="187"/>
    </row>
    <row r="334" spans="1:9" x14ac:dyDescent="0.25">
      <c r="A334" s="237" t="s">
        <v>87</v>
      </c>
      <c r="B334" s="156" t="s">
        <v>88</v>
      </c>
      <c r="C334" s="159" t="s">
        <v>76</v>
      </c>
      <c r="D334" s="158">
        <f>D333</f>
        <v>5.04</v>
      </c>
      <c r="E334" s="158"/>
      <c r="F334" s="185"/>
      <c r="G334" s="269"/>
      <c r="H334" s="269"/>
      <c r="I334" s="187"/>
    </row>
    <row r="335" spans="1:9" x14ac:dyDescent="0.25">
      <c r="A335" s="237" t="s">
        <v>89</v>
      </c>
      <c r="B335" s="156" t="s">
        <v>90</v>
      </c>
      <c r="C335" s="159" t="s">
        <v>76</v>
      </c>
      <c r="D335" s="158">
        <f>D333</f>
        <v>5.04</v>
      </c>
      <c r="E335" s="158"/>
      <c r="F335" s="185"/>
      <c r="G335" s="269"/>
      <c r="H335" s="269"/>
      <c r="I335" s="187"/>
    </row>
    <row r="336" spans="1:9" x14ac:dyDescent="0.25">
      <c r="A336" s="237" t="s">
        <v>139</v>
      </c>
      <c r="B336" s="156" t="s">
        <v>198</v>
      </c>
      <c r="C336" s="159" t="s">
        <v>75</v>
      </c>
      <c r="D336" s="158">
        <f>D332</f>
        <v>54.3</v>
      </c>
      <c r="E336" s="158"/>
      <c r="F336" s="185"/>
      <c r="G336" s="269"/>
      <c r="H336" s="269"/>
      <c r="I336" s="187"/>
    </row>
    <row r="337" spans="1:9" x14ac:dyDescent="0.25">
      <c r="A337" s="237" t="s">
        <v>91</v>
      </c>
      <c r="B337" s="156" t="s">
        <v>125</v>
      </c>
      <c r="C337" s="159" t="s">
        <v>75</v>
      </c>
      <c r="D337" s="158">
        <f>D332*2</f>
        <v>108.6</v>
      </c>
      <c r="E337" s="158"/>
      <c r="F337" s="185"/>
      <c r="G337" s="269"/>
      <c r="H337" s="269"/>
      <c r="I337" s="187"/>
    </row>
    <row r="338" spans="1:9" x14ac:dyDescent="0.25">
      <c r="A338" s="237" t="s">
        <v>92</v>
      </c>
      <c r="B338" s="156" t="s">
        <v>294</v>
      </c>
      <c r="C338" s="159" t="s">
        <v>75</v>
      </c>
      <c r="D338" s="158">
        <f>D332*2</f>
        <v>108.6</v>
      </c>
      <c r="E338" s="158"/>
      <c r="F338" s="185"/>
      <c r="G338" s="269"/>
      <c r="H338" s="269"/>
      <c r="I338" s="187"/>
    </row>
    <row r="339" spans="1:9" x14ac:dyDescent="0.25">
      <c r="A339" s="237" t="s">
        <v>201</v>
      </c>
      <c r="B339" s="156" t="s">
        <v>140</v>
      </c>
      <c r="C339" s="159" t="s">
        <v>72</v>
      </c>
      <c r="D339" s="158">
        <f>D317</f>
        <v>395</v>
      </c>
      <c r="E339" s="158"/>
      <c r="F339" s="185"/>
      <c r="G339" s="269"/>
      <c r="H339" s="269"/>
      <c r="I339" s="187"/>
    </row>
    <row r="340" spans="1:9" ht="20.399999999999999" x14ac:dyDescent="0.25">
      <c r="A340" s="237" t="s">
        <v>199</v>
      </c>
      <c r="B340" s="156" t="s">
        <v>200</v>
      </c>
      <c r="C340" s="159" t="s">
        <v>72</v>
      </c>
      <c r="D340" s="158">
        <f>D317</f>
        <v>395</v>
      </c>
      <c r="E340" s="158"/>
      <c r="F340" s="185"/>
      <c r="G340" s="269"/>
      <c r="H340" s="269"/>
      <c r="I340" s="187"/>
    </row>
    <row r="341" spans="1:9" x14ac:dyDescent="0.25">
      <c r="A341" s="237" t="s">
        <v>201</v>
      </c>
      <c r="B341" s="156" t="s">
        <v>140</v>
      </c>
      <c r="C341" s="159" t="s">
        <v>72</v>
      </c>
      <c r="D341" s="158">
        <f>D325</f>
        <v>2305</v>
      </c>
      <c r="E341" s="158"/>
      <c r="F341" s="185"/>
      <c r="G341" s="269"/>
      <c r="H341" s="269"/>
      <c r="I341" s="187"/>
    </row>
    <row r="342" spans="1:9" x14ac:dyDescent="0.25">
      <c r="A342" s="237" t="s">
        <v>295</v>
      </c>
      <c r="B342" s="156" t="s">
        <v>296</v>
      </c>
      <c r="C342" s="159" t="s">
        <v>72</v>
      </c>
      <c r="D342" s="158">
        <f>D341</f>
        <v>2305</v>
      </c>
      <c r="E342" s="158"/>
      <c r="F342" s="185"/>
      <c r="G342" s="269"/>
      <c r="H342" s="269"/>
      <c r="I342" s="187"/>
    </row>
    <row r="343" spans="1:9" x14ac:dyDescent="0.25">
      <c r="A343" s="237" t="s">
        <v>93</v>
      </c>
      <c r="B343" s="156" t="s">
        <v>94</v>
      </c>
      <c r="C343" s="159" t="s">
        <v>72</v>
      </c>
      <c r="D343" s="158">
        <f>D327</f>
        <v>3</v>
      </c>
      <c r="E343" s="158"/>
      <c r="F343" s="185"/>
      <c r="G343" s="269"/>
      <c r="H343" s="269"/>
      <c r="I343" s="187"/>
    </row>
    <row r="344" spans="1:9" ht="20.399999999999999" x14ac:dyDescent="0.25">
      <c r="A344" s="237" t="s">
        <v>120</v>
      </c>
      <c r="B344" s="156" t="s">
        <v>122</v>
      </c>
      <c r="C344" s="159" t="s">
        <v>72</v>
      </c>
      <c r="D344" s="158">
        <f>D343</f>
        <v>3</v>
      </c>
      <c r="E344" s="158"/>
      <c r="F344" s="185"/>
      <c r="G344" s="269"/>
      <c r="H344" s="269"/>
      <c r="I344" s="187"/>
    </row>
    <row r="345" spans="1:9" x14ac:dyDescent="0.25">
      <c r="A345" s="237" t="s">
        <v>95</v>
      </c>
      <c r="B345" s="156" t="s">
        <v>124</v>
      </c>
      <c r="C345" s="159" t="s">
        <v>77</v>
      </c>
      <c r="D345" s="158">
        <f>(D331/100000)</f>
        <v>3.9500000000000004E-3</v>
      </c>
      <c r="E345" s="158"/>
      <c r="F345" s="185"/>
      <c r="G345" s="269"/>
      <c r="H345" s="269"/>
      <c r="I345" s="187"/>
    </row>
    <row r="346" spans="1:9" x14ac:dyDescent="0.25">
      <c r="A346" s="237" t="s">
        <v>121</v>
      </c>
      <c r="B346" s="156" t="s">
        <v>147</v>
      </c>
      <c r="C346" s="159" t="s">
        <v>75</v>
      </c>
      <c r="D346" s="158">
        <f>D336</f>
        <v>54.3</v>
      </c>
      <c r="E346" s="158"/>
      <c r="F346" s="185"/>
      <c r="G346" s="269"/>
      <c r="H346" s="269"/>
      <c r="I346" s="187"/>
    </row>
    <row r="347" spans="1:9" x14ac:dyDescent="0.25">
      <c r="A347" s="237" t="s">
        <v>98</v>
      </c>
      <c r="B347" s="156" t="s">
        <v>99</v>
      </c>
      <c r="C347" s="159" t="s">
        <v>76</v>
      </c>
      <c r="D347" s="158">
        <f>D293*0.02</f>
        <v>1.0860000000000001</v>
      </c>
      <c r="E347" s="158"/>
      <c r="F347" s="185"/>
      <c r="G347" s="269"/>
      <c r="H347" s="269"/>
      <c r="I347" s="187"/>
    </row>
    <row r="348" spans="1:9" ht="13.8" thickBot="1" x14ac:dyDescent="0.3">
      <c r="A348" s="237" t="s">
        <v>100</v>
      </c>
      <c r="B348" s="156" t="s">
        <v>101</v>
      </c>
      <c r="C348" s="159" t="s">
        <v>77</v>
      </c>
      <c r="D348" s="158">
        <f>H348</f>
        <v>8.4910000000000014</v>
      </c>
      <c r="E348" s="158"/>
      <c r="F348" s="185"/>
      <c r="G348" s="269"/>
      <c r="H348" s="269">
        <f>SUM(H292:H347)</f>
        <v>8.4910000000000014</v>
      </c>
      <c r="I348" s="187"/>
    </row>
    <row r="349" spans="1:9" ht="13.8" thickBot="1" x14ac:dyDescent="0.3">
      <c r="A349" s="291"/>
      <c r="B349" s="206" t="s">
        <v>298</v>
      </c>
      <c r="C349" s="207" t="s">
        <v>75</v>
      </c>
      <c r="D349" s="400">
        <v>686</v>
      </c>
      <c r="E349" s="194"/>
      <c r="F349" s="195"/>
      <c r="G349" s="283"/>
      <c r="H349" s="283"/>
      <c r="I349" s="318">
        <f>SUM(F350:F373)</f>
        <v>0</v>
      </c>
    </row>
    <row r="350" spans="1:9" x14ac:dyDescent="0.25">
      <c r="A350" s="241"/>
      <c r="B350" s="204" t="s">
        <v>301</v>
      </c>
      <c r="C350" s="205"/>
      <c r="D350" s="189"/>
      <c r="E350" s="189"/>
      <c r="F350" s="190"/>
      <c r="G350" s="282"/>
      <c r="H350" s="282"/>
      <c r="I350" s="187"/>
    </row>
    <row r="351" spans="1:9" x14ac:dyDescent="0.25">
      <c r="A351" s="237" t="s">
        <v>138</v>
      </c>
      <c r="B351" s="156" t="s">
        <v>302</v>
      </c>
      <c r="C351" s="159" t="s">
        <v>75</v>
      </c>
      <c r="D351" s="158">
        <f>((D349/100)*20)*2</f>
        <v>274.40000000000003</v>
      </c>
      <c r="E351" s="158"/>
      <c r="F351" s="185"/>
      <c r="G351" s="269"/>
      <c r="H351" s="269"/>
      <c r="I351" s="187"/>
    </row>
    <row r="352" spans="1:9" x14ac:dyDescent="0.25">
      <c r="A352" s="237" t="s">
        <v>86</v>
      </c>
      <c r="B352" s="156" t="s">
        <v>119</v>
      </c>
      <c r="C352" s="159" t="s">
        <v>106</v>
      </c>
      <c r="D352" s="158">
        <f>(D351/100)*0.2</f>
        <v>0.54880000000000007</v>
      </c>
      <c r="E352" s="158"/>
      <c r="F352" s="185"/>
      <c r="G352" s="269"/>
      <c r="H352" s="269"/>
      <c r="I352" s="187"/>
    </row>
    <row r="353" spans="1:9" ht="20.399999999999999" x14ac:dyDescent="0.25">
      <c r="A353" s="237" t="s">
        <v>191</v>
      </c>
      <c r="B353" s="156" t="s">
        <v>307</v>
      </c>
      <c r="C353" s="159" t="s">
        <v>75</v>
      </c>
      <c r="D353" s="158">
        <f>D349</f>
        <v>686</v>
      </c>
      <c r="E353" s="158"/>
      <c r="F353" s="185"/>
      <c r="G353" s="269"/>
      <c r="H353" s="269"/>
      <c r="I353" s="187"/>
    </row>
    <row r="354" spans="1:9" x14ac:dyDescent="0.25">
      <c r="A354" s="237"/>
      <c r="B354" s="156" t="s">
        <v>303</v>
      </c>
      <c r="C354" s="159" t="s">
        <v>76</v>
      </c>
      <c r="D354" s="158">
        <f>D349*0.01</f>
        <v>6.86</v>
      </c>
      <c r="E354" s="158"/>
      <c r="F354" s="185"/>
      <c r="G354" s="269"/>
      <c r="H354" s="269"/>
      <c r="I354" s="187"/>
    </row>
    <row r="355" spans="1:9" x14ac:dyDescent="0.25">
      <c r="A355" s="237" t="s">
        <v>85</v>
      </c>
      <c r="B355" s="156" t="s">
        <v>322</v>
      </c>
      <c r="C355" s="159"/>
      <c r="D355" s="158"/>
      <c r="E355" s="158"/>
      <c r="F355" s="185"/>
      <c r="G355" s="269"/>
      <c r="H355" s="269"/>
      <c r="I355" s="187"/>
    </row>
    <row r="356" spans="1:9" x14ac:dyDescent="0.25">
      <c r="A356" s="237" t="s">
        <v>82</v>
      </c>
      <c r="B356" s="156" t="s">
        <v>321</v>
      </c>
      <c r="C356" s="159" t="s">
        <v>76</v>
      </c>
      <c r="D356" s="158">
        <f>(D349/100*20)*0.05</f>
        <v>6.8600000000000012</v>
      </c>
      <c r="E356" s="158"/>
      <c r="F356" s="185"/>
      <c r="G356" s="269">
        <v>1</v>
      </c>
      <c r="H356" s="269">
        <f>G356*D356</f>
        <v>6.8600000000000012</v>
      </c>
      <c r="I356" s="187"/>
    </row>
    <row r="357" spans="1:9" ht="20.399999999999999" x14ac:dyDescent="0.25">
      <c r="A357" s="237" t="s">
        <v>85</v>
      </c>
      <c r="B357" s="156" t="s">
        <v>323</v>
      </c>
      <c r="C357" s="159"/>
      <c r="D357" s="168"/>
      <c r="E357" s="158"/>
      <c r="F357" s="185"/>
      <c r="G357" s="269"/>
      <c r="H357" s="269"/>
      <c r="I357" s="187"/>
    </row>
    <row r="358" spans="1:9" x14ac:dyDescent="0.25">
      <c r="A358" s="237" t="s">
        <v>85</v>
      </c>
      <c r="B358" s="156" t="s">
        <v>299</v>
      </c>
      <c r="C358" s="159" t="s">
        <v>75</v>
      </c>
      <c r="D358" s="158">
        <f>(D349/100)*20</f>
        <v>137.20000000000002</v>
      </c>
      <c r="E358" s="158"/>
      <c r="F358" s="185"/>
      <c r="G358" s="269"/>
      <c r="H358" s="269"/>
      <c r="I358" s="187"/>
    </row>
    <row r="359" spans="1:9" x14ac:dyDescent="0.25">
      <c r="A359" s="237" t="s">
        <v>85</v>
      </c>
      <c r="B359" s="156" t="s">
        <v>131</v>
      </c>
      <c r="C359" s="159" t="s">
        <v>76</v>
      </c>
      <c r="D359" s="173">
        <f>D358*0.05</f>
        <v>6.8600000000000012</v>
      </c>
      <c r="E359" s="158"/>
      <c r="F359" s="185"/>
      <c r="G359" s="269"/>
      <c r="H359" s="269"/>
      <c r="I359" s="187"/>
    </row>
    <row r="360" spans="1:9" x14ac:dyDescent="0.25">
      <c r="A360" s="237" t="s">
        <v>86</v>
      </c>
      <c r="B360" s="156" t="s">
        <v>309</v>
      </c>
      <c r="C360" s="159" t="s">
        <v>76</v>
      </c>
      <c r="D360" s="158">
        <f>D359</f>
        <v>6.8600000000000012</v>
      </c>
      <c r="E360" s="158"/>
      <c r="F360" s="185"/>
      <c r="G360" s="269"/>
      <c r="H360" s="269"/>
      <c r="I360" s="187"/>
    </row>
    <row r="361" spans="1:9" x14ac:dyDescent="0.25">
      <c r="A361" s="237" t="s">
        <v>87</v>
      </c>
      <c r="B361" s="156" t="s">
        <v>88</v>
      </c>
      <c r="C361" s="159" t="s">
        <v>76</v>
      </c>
      <c r="D361" s="158">
        <f>D359</f>
        <v>6.8600000000000012</v>
      </c>
      <c r="E361" s="158"/>
      <c r="F361" s="185"/>
      <c r="G361" s="269"/>
      <c r="H361" s="269"/>
      <c r="I361" s="187"/>
    </row>
    <row r="362" spans="1:9" x14ac:dyDescent="0.25">
      <c r="A362" s="237" t="s">
        <v>89</v>
      </c>
      <c r="B362" s="156" t="s">
        <v>90</v>
      </c>
      <c r="C362" s="159" t="s">
        <v>76</v>
      </c>
      <c r="D362" s="158">
        <f>D359</f>
        <v>6.8600000000000012</v>
      </c>
      <c r="E362" s="158"/>
      <c r="F362" s="185"/>
      <c r="G362" s="269"/>
      <c r="H362" s="269"/>
      <c r="I362" s="187"/>
    </row>
    <row r="363" spans="1:9" x14ac:dyDescent="0.25">
      <c r="A363" s="237" t="s">
        <v>139</v>
      </c>
      <c r="B363" s="156" t="s">
        <v>308</v>
      </c>
      <c r="C363" s="159" t="s">
        <v>75</v>
      </c>
      <c r="D363" s="158">
        <f>D359</f>
        <v>6.8600000000000012</v>
      </c>
      <c r="E363" s="158"/>
      <c r="F363" s="185"/>
      <c r="G363" s="269"/>
      <c r="H363" s="269"/>
      <c r="I363" s="187"/>
    </row>
    <row r="364" spans="1:9" x14ac:dyDescent="0.25">
      <c r="A364" s="237" t="s">
        <v>92</v>
      </c>
      <c r="B364" s="156" t="s">
        <v>294</v>
      </c>
      <c r="C364" s="159" t="s">
        <v>75</v>
      </c>
      <c r="D364" s="158">
        <f>D349*2</f>
        <v>1372</v>
      </c>
      <c r="E364" s="158"/>
      <c r="F364" s="185"/>
      <c r="G364" s="269"/>
      <c r="H364" s="269"/>
      <c r="I364" s="187"/>
    </row>
    <row r="365" spans="1:9" x14ac:dyDescent="0.25">
      <c r="A365" s="237" t="s">
        <v>304</v>
      </c>
      <c r="B365" s="156" t="s">
        <v>305</v>
      </c>
      <c r="C365" s="159" t="s">
        <v>75</v>
      </c>
      <c r="D365" s="158">
        <f>D349*2</f>
        <v>1372</v>
      </c>
      <c r="E365" s="158"/>
      <c r="F365" s="185"/>
      <c r="G365" s="269"/>
      <c r="H365" s="269"/>
      <c r="I365" s="187"/>
    </row>
    <row r="366" spans="1:9" x14ac:dyDescent="0.25">
      <c r="A366" s="237" t="s">
        <v>310</v>
      </c>
      <c r="B366" s="156" t="s">
        <v>311</v>
      </c>
      <c r="C366" s="159" t="s">
        <v>77</v>
      </c>
      <c r="D366" s="158">
        <f>D367/1000</f>
        <v>2.0579999999999998E-2</v>
      </c>
      <c r="E366" s="158"/>
      <c r="F366" s="185"/>
      <c r="G366" s="269"/>
      <c r="H366" s="269"/>
      <c r="I366" s="187"/>
    </row>
    <row r="367" spans="1:9" ht="20.399999999999999" x14ac:dyDescent="0.25">
      <c r="A367" s="237" t="s">
        <v>86</v>
      </c>
      <c r="B367" s="156" t="s">
        <v>315</v>
      </c>
      <c r="C367" s="159" t="s">
        <v>78</v>
      </c>
      <c r="D367" s="158">
        <f>D349*0.03</f>
        <v>20.58</v>
      </c>
      <c r="E367" s="158"/>
      <c r="F367" s="185"/>
      <c r="G367" s="269"/>
      <c r="H367" s="269"/>
      <c r="I367" s="187"/>
    </row>
    <row r="368" spans="1:9" x14ac:dyDescent="0.25">
      <c r="A368" s="237" t="s">
        <v>86</v>
      </c>
      <c r="B368" s="156" t="s">
        <v>316</v>
      </c>
      <c r="C368" s="159" t="s">
        <v>78</v>
      </c>
      <c r="D368" s="158">
        <f>D349*0.025</f>
        <v>17.150000000000002</v>
      </c>
      <c r="E368" s="158"/>
      <c r="F368" s="185"/>
      <c r="G368" s="269"/>
      <c r="H368" s="269"/>
      <c r="I368" s="187"/>
    </row>
    <row r="369" spans="1:11" x14ac:dyDescent="0.25">
      <c r="A369" s="237" t="s">
        <v>96</v>
      </c>
      <c r="B369" s="156" t="s">
        <v>355</v>
      </c>
      <c r="C369" s="159" t="s">
        <v>75</v>
      </c>
      <c r="D369" s="158">
        <f>D349</f>
        <v>686</v>
      </c>
      <c r="E369" s="158"/>
      <c r="F369" s="185"/>
      <c r="G369" s="269"/>
      <c r="H369" s="269"/>
      <c r="I369" s="187"/>
    </row>
    <row r="370" spans="1:11" x14ac:dyDescent="0.25">
      <c r="A370" s="237" t="s">
        <v>92</v>
      </c>
      <c r="B370" s="156" t="s">
        <v>306</v>
      </c>
      <c r="C370" s="159" t="s">
        <v>75</v>
      </c>
      <c r="D370" s="158">
        <f>D349*2</f>
        <v>1372</v>
      </c>
      <c r="E370" s="158"/>
      <c r="F370" s="185"/>
      <c r="G370" s="269"/>
      <c r="H370" s="269"/>
      <c r="I370" s="187"/>
    </row>
    <row r="371" spans="1:11" s="355" customFormat="1" ht="20.399999999999999" x14ac:dyDescent="0.25">
      <c r="A371" s="237" t="s">
        <v>98</v>
      </c>
      <c r="B371" s="156" t="s">
        <v>313</v>
      </c>
      <c r="C371" s="159" t="s">
        <v>76</v>
      </c>
      <c r="D371" s="158">
        <f>D349*0.02</f>
        <v>13.72</v>
      </c>
      <c r="E371" s="158"/>
      <c r="F371" s="185"/>
      <c r="G371" s="269"/>
      <c r="H371" s="269"/>
      <c r="I371" s="187"/>
      <c r="J371" s="267"/>
      <c r="K371" s="267"/>
    </row>
    <row r="372" spans="1:11" s="355" customFormat="1" x14ac:dyDescent="0.25">
      <c r="A372" s="237" t="s">
        <v>97</v>
      </c>
      <c r="B372" s="156" t="s">
        <v>312</v>
      </c>
      <c r="C372" s="159" t="s">
        <v>75</v>
      </c>
      <c r="D372" s="158">
        <f>D349*2</f>
        <v>1372</v>
      </c>
      <c r="E372" s="158"/>
      <c r="F372" s="185"/>
      <c r="G372" s="269"/>
      <c r="H372" s="269"/>
      <c r="I372" s="187"/>
      <c r="J372" s="267"/>
      <c r="K372" s="267"/>
    </row>
    <row r="373" spans="1:11" s="355" customFormat="1" x14ac:dyDescent="0.25">
      <c r="A373" s="237" t="s">
        <v>100</v>
      </c>
      <c r="B373" s="156" t="s">
        <v>101</v>
      </c>
      <c r="C373" s="159" t="s">
        <v>77</v>
      </c>
      <c r="D373" s="158">
        <f>H373</f>
        <v>6.8600000000000012</v>
      </c>
      <c r="E373" s="158"/>
      <c r="F373" s="185"/>
      <c r="G373" s="269"/>
      <c r="H373" s="269">
        <f>SUM(H349:H372)</f>
        <v>6.8600000000000012</v>
      </c>
      <c r="I373" s="187"/>
      <c r="J373" s="267"/>
      <c r="K373" s="267"/>
    </row>
    <row r="374" spans="1:11" s="355" customFormat="1" x14ac:dyDescent="0.25">
      <c r="A374" s="237"/>
      <c r="B374" s="156"/>
      <c r="C374" s="159"/>
      <c r="D374" s="158"/>
      <c r="E374" s="158"/>
      <c r="F374" s="185"/>
      <c r="G374" s="269"/>
      <c r="H374" s="269"/>
      <c r="I374" s="187"/>
      <c r="J374" s="267"/>
      <c r="K374" s="267"/>
    </row>
    <row r="375" spans="1:11" s="355" customFormat="1" x14ac:dyDescent="0.25">
      <c r="A375" s="238" t="s">
        <v>73</v>
      </c>
      <c r="B375" s="172" t="str">
        <f>CONCATENATE(A56," ",B56)</f>
        <v xml:space="preserve"> Výsadba rostlin dle jednotlivých záhonů, založení trávníku</v>
      </c>
      <c r="C375" s="167"/>
      <c r="D375" s="173"/>
      <c r="E375" s="173"/>
      <c r="F375" s="186"/>
      <c r="G375" s="271"/>
      <c r="H375" s="269"/>
      <c r="I375" s="280"/>
      <c r="J375" s="267"/>
      <c r="K375" s="267"/>
    </row>
    <row r="376" spans="1:11" s="355" customFormat="1" ht="13.8" thickBot="1" x14ac:dyDescent="0.3">
      <c r="A376" s="239"/>
      <c r="B376" s="196"/>
      <c r="C376" s="197"/>
      <c r="D376" s="198"/>
      <c r="E376" s="198"/>
      <c r="F376" s="199"/>
      <c r="G376" s="292"/>
      <c r="H376" s="281"/>
      <c r="I376" s="280"/>
      <c r="J376" s="267"/>
      <c r="K376" s="267"/>
    </row>
    <row r="377" spans="1:11" s="355" customFormat="1" ht="13.8" thickBot="1" x14ac:dyDescent="0.3">
      <c r="A377" s="382"/>
      <c r="B377" s="383"/>
      <c r="C377" s="383"/>
      <c r="D377" s="384"/>
      <c r="E377" s="384"/>
      <c r="F377" s="385"/>
      <c r="G377" s="386"/>
      <c r="H377" s="386"/>
      <c r="I377" s="387">
        <f>SUM(I6:I376)</f>
        <v>0</v>
      </c>
      <c r="J377" s="267"/>
      <c r="K377" s="267"/>
    </row>
    <row r="378" spans="1:11" s="355" customFormat="1" ht="13.8" thickBot="1" x14ac:dyDescent="0.3">
      <c r="A378" s="236"/>
      <c r="B378" s="169" t="s">
        <v>423</v>
      </c>
      <c r="C378" s="162"/>
      <c r="D378" s="181"/>
      <c r="E378" s="181"/>
      <c r="F378" s="184"/>
      <c r="G378" s="267"/>
      <c r="H378" s="267"/>
      <c r="I378" s="184">
        <f>I603</f>
        <v>0</v>
      </c>
      <c r="J378" s="267"/>
      <c r="K378" s="267"/>
    </row>
    <row r="379" spans="1:11" s="371" customFormat="1" ht="13.8" thickBot="1" x14ac:dyDescent="0.3">
      <c r="A379" s="291"/>
      <c r="B379" s="206" t="s">
        <v>404</v>
      </c>
      <c r="C379" s="207" t="s">
        <v>75</v>
      </c>
      <c r="D379" s="400">
        <f>D388</f>
        <v>15.7</v>
      </c>
      <c r="E379" s="194"/>
      <c r="F379" s="195"/>
      <c r="G379" s="283"/>
      <c r="H379" s="295"/>
      <c r="I379" s="318">
        <f>SUM(F380:F428)</f>
        <v>0</v>
      </c>
    </row>
    <row r="380" spans="1:11" s="371" customFormat="1" x14ac:dyDescent="0.25">
      <c r="A380" s="241"/>
      <c r="B380" s="209" t="s">
        <v>115</v>
      </c>
      <c r="C380" s="205" t="s">
        <v>75</v>
      </c>
      <c r="D380" s="401">
        <f>D389</f>
        <v>15.7</v>
      </c>
      <c r="E380" s="189"/>
      <c r="F380" s="190"/>
      <c r="G380" s="282"/>
      <c r="H380" s="294"/>
    </row>
    <row r="381" spans="1:11" s="371" customFormat="1" x14ac:dyDescent="0.25">
      <c r="A381" s="237" t="s">
        <v>79</v>
      </c>
      <c r="B381" s="156" t="s">
        <v>151</v>
      </c>
      <c r="C381" s="159" t="s">
        <v>75</v>
      </c>
      <c r="D381" s="158">
        <f>D380</f>
        <v>15.7</v>
      </c>
      <c r="E381" s="158"/>
      <c r="F381" s="185"/>
      <c r="G381" s="269"/>
      <c r="H381" s="272"/>
    </row>
    <row r="382" spans="1:11" s="371" customFormat="1" x14ac:dyDescent="0.25">
      <c r="A382" s="237" t="s">
        <v>138</v>
      </c>
      <c r="B382" s="156" t="s">
        <v>300</v>
      </c>
      <c r="C382" s="159" t="s">
        <v>75</v>
      </c>
      <c r="D382" s="158">
        <f>(D380/3)*2*2</f>
        <v>20.933333333333334</v>
      </c>
      <c r="E382" s="158"/>
      <c r="F382" s="185"/>
      <c r="G382" s="269"/>
      <c r="H382" s="272"/>
    </row>
    <row r="383" spans="1:11" s="371" customFormat="1" x14ac:dyDescent="0.25">
      <c r="A383" s="237" t="s">
        <v>86</v>
      </c>
      <c r="B383" s="156" t="s">
        <v>119</v>
      </c>
      <c r="C383" s="159" t="s">
        <v>106</v>
      </c>
      <c r="D383" s="158">
        <f>(D382/100)*0.2</f>
        <v>4.186666666666667E-2</v>
      </c>
      <c r="E383" s="158"/>
      <c r="F383" s="185"/>
      <c r="G383" s="269"/>
      <c r="H383" s="272"/>
    </row>
    <row r="384" spans="1:11" s="371" customFormat="1" x14ac:dyDescent="0.25">
      <c r="A384" s="237" t="s">
        <v>85</v>
      </c>
      <c r="B384" s="156" t="s">
        <v>116</v>
      </c>
      <c r="C384" s="159"/>
      <c r="D384" s="158"/>
      <c r="E384" s="158"/>
      <c r="F384" s="185"/>
      <c r="G384" s="269"/>
      <c r="H384" s="272"/>
    </row>
    <row r="385" spans="1:9" s="371" customFormat="1" x14ac:dyDescent="0.25">
      <c r="A385" s="237" t="s">
        <v>82</v>
      </c>
      <c r="B385" s="156" t="s">
        <v>320</v>
      </c>
      <c r="C385" s="159" t="s">
        <v>76</v>
      </c>
      <c r="D385" s="158">
        <f>D380/2*0.03</f>
        <v>0.23549999999999999</v>
      </c>
      <c r="E385" s="158"/>
      <c r="F385" s="185"/>
      <c r="G385" s="269">
        <v>0.8</v>
      </c>
      <c r="H385" s="272">
        <v>0.18840000000000001</v>
      </c>
    </row>
    <row r="386" spans="1:9" s="371" customFormat="1" x14ac:dyDescent="0.25">
      <c r="A386" s="237" t="s">
        <v>83</v>
      </c>
      <c r="B386" s="156" t="s">
        <v>84</v>
      </c>
      <c r="C386" s="159" t="s">
        <v>75</v>
      </c>
      <c r="D386" s="158">
        <f>D380*0.5</f>
        <v>7.85</v>
      </c>
      <c r="E386" s="158"/>
      <c r="F386" s="185"/>
      <c r="G386" s="269"/>
      <c r="H386" s="272"/>
    </row>
    <row r="387" spans="1:9" s="371" customFormat="1" x14ac:dyDescent="0.25">
      <c r="A387" s="237" t="s">
        <v>85</v>
      </c>
      <c r="B387" s="157" t="s">
        <v>134</v>
      </c>
      <c r="C387" s="159" t="s">
        <v>75</v>
      </c>
      <c r="D387" s="173">
        <f>D380</f>
        <v>15.7</v>
      </c>
      <c r="E387" s="158"/>
      <c r="F387" s="185"/>
      <c r="G387" s="269"/>
      <c r="H387" s="272"/>
    </row>
    <row r="388" spans="1:9" s="371" customFormat="1" ht="20.399999999999999" x14ac:dyDescent="0.25">
      <c r="A388" s="237" t="s">
        <v>118</v>
      </c>
      <c r="B388" s="156" t="s">
        <v>117</v>
      </c>
      <c r="C388" s="159" t="s">
        <v>75</v>
      </c>
      <c r="D388" s="158">
        <f>D387</f>
        <v>15.7</v>
      </c>
      <c r="E388" s="158"/>
      <c r="F388" s="185"/>
      <c r="G388" s="269"/>
      <c r="H388" s="272"/>
    </row>
    <row r="389" spans="1:9" s="371" customFormat="1" x14ac:dyDescent="0.25">
      <c r="A389" s="237"/>
      <c r="B389" s="157" t="s">
        <v>405</v>
      </c>
      <c r="C389" s="159" t="s">
        <v>75</v>
      </c>
      <c r="D389" s="173">
        <v>15.7</v>
      </c>
      <c r="E389" s="158"/>
      <c r="F389" s="185"/>
      <c r="G389" s="269"/>
      <c r="H389" s="272"/>
    </row>
    <row r="390" spans="1:9" s="371" customFormat="1" x14ac:dyDescent="0.25">
      <c r="A390" s="237" t="s">
        <v>86</v>
      </c>
      <c r="B390" s="231" t="s">
        <v>204</v>
      </c>
      <c r="C390" s="159" t="s">
        <v>72</v>
      </c>
      <c r="D390" s="158">
        <v>9</v>
      </c>
      <c r="E390" s="158"/>
      <c r="F390" s="185"/>
      <c r="G390" s="269">
        <v>5.0000000000000001E-4</v>
      </c>
      <c r="H390" s="272">
        <v>4.5000000000000005E-3</v>
      </c>
      <c r="I390" s="187"/>
    </row>
    <row r="391" spans="1:9" s="371" customFormat="1" x14ac:dyDescent="0.25">
      <c r="A391" s="237" t="s">
        <v>86</v>
      </c>
      <c r="B391" s="231" t="s">
        <v>238</v>
      </c>
      <c r="C391" s="159" t="s">
        <v>72</v>
      </c>
      <c r="D391" s="158">
        <v>5</v>
      </c>
      <c r="E391" s="158"/>
      <c r="F391" s="185"/>
      <c r="G391" s="269">
        <v>5.0000000000000001E-4</v>
      </c>
      <c r="H391" s="272">
        <v>2.5000000000000001E-3</v>
      </c>
    </row>
    <row r="392" spans="1:9" s="371" customFormat="1" x14ac:dyDescent="0.25">
      <c r="A392" s="237" t="s">
        <v>86</v>
      </c>
      <c r="B392" s="231" t="s">
        <v>240</v>
      </c>
      <c r="C392" s="159" t="s">
        <v>72</v>
      </c>
      <c r="D392" s="158">
        <v>21</v>
      </c>
      <c r="E392" s="158"/>
      <c r="F392" s="185"/>
      <c r="G392" s="269">
        <v>5.0000000000000001E-4</v>
      </c>
      <c r="H392" s="272">
        <v>1.0500000000000001E-2</v>
      </c>
    </row>
    <row r="393" spans="1:9" s="371" customFormat="1" x14ac:dyDescent="0.25">
      <c r="A393" s="237" t="s">
        <v>86</v>
      </c>
      <c r="B393" s="231" t="s">
        <v>209</v>
      </c>
      <c r="C393" s="159" t="s">
        <v>72</v>
      </c>
      <c r="D393" s="158">
        <v>13</v>
      </c>
      <c r="E393" s="158"/>
      <c r="F393" s="185"/>
      <c r="G393" s="269">
        <v>5.0000000000000001E-4</v>
      </c>
      <c r="H393" s="272">
        <v>6.5000000000000006E-3</v>
      </c>
    </row>
    <row r="394" spans="1:9" s="371" customFormat="1" x14ac:dyDescent="0.25">
      <c r="A394" s="237" t="s">
        <v>86</v>
      </c>
      <c r="B394" s="160" t="s">
        <v>419</v>
      </c>
      <c r="C394" s="159" t="s">
        <v>72</v>
      </c>
      <c r="D394" s="158">
        <v>8</v>
      </c>
      <c r="E394" s="158"/>
      <c r="F394" s="185"/>
      <c r="G394" s="269">
        <v>5.0000000000000001E-4</v>
      </c>
      <c r="H394" s="272">
        <v>4.0000000000000001E-3</v>
      </c>
    </row>
    <row r="395" spans="1:9" s="371" customFormat="1" x14ac:dyDescent="0.25">
      <c r="A395" s="237" t="s">
        <v>86</v>
      </c>
      <c r="B395" s="160" t="s">
        <v>213</v>
      </c>
      <c r="C395" s="159" t="s">
        <v>72</v>
      </c>
      <c r="D395" s="158">
        <v>13</v>
      </c>
      <c r="E395" s="158"/>
      <c r="F395" s="185"/>
      <c r="G395" s="269">
        <v>5.0000000000000001E-4</v>
      </c>
      <c r="H395" s="272">
        <v>6.5000000000000006E-3</v>
      </c>
    </row>
    <row r="396" spans="1:9" s="371" customFormat="1" x14ac:dyDescent="0.25">
      <c r="A396" s="237" t="s">
        <v>86</v>
      </c>
      <c r="B396" s="231" t="s">
        <v>214</v>
      </c>
      <c r="C396" s="159" t="s">
        <v>72</v>
      </c>
      <c r="D396" s="404">
        <v>22</v>
      </c>
      <c r="E396" s="158"/>
      <c r="F396" s="185"/>
      <c r="G396" s="269">
        <v>5.0000000000000001E-4</v>
      </c>
      <c r="H396" s="272">
        <v>1.0999999999999999E-2</v>
      </c>
    </row>
    <row r="397" spans="1:9" s="371" customFormat="1" x14ac:dyDescent="0.25">
      <c r="A397" s="237" t="s">
        <v>86</v>
      </c>
      <c r="B397" s="231" t="s">
        <v>216</v>
      </c>
      <c r="C397" s="159" t="s">
        <v>72</v>
      </c>
      <c r="D397" s="404">
        <v>12</v>
      </c>
      <c r="E397" s="158"/>
      <c r="F397" s="185"/>
      <c r="G397" s="269">
        <v>5.0000000000000001E-4</v>
      </c>
      <c r="H397" s="272">
        <v>6.0000000000000001E-3</v>
      </c>
    </row>
    <row r="398" spans="1:9" s="371" customFormat="1" x14ac:dyDescent="0.25">
      <c r="A398" s="237"/>
      <c r="B398" s="157"/>
      <c r="C398" s="159"/>
      <c r="D398" s="405">
        <f>SUM(D390:D397)</f>
        <v>103</v>
      </c>
      <c r="E398" s="404"/>
      <c r="F398" s="404"/>
      <c r="G398" s="269"/>
      <c r="H398" s="272"/>
    </row>
    <row r="399" spans="1:9" s="371" customFormat="1" x14ac:dyDescent="0.25">
      <c r="A399" s="237"/>
      <c r="B399" s="157" t="s">
        <v>318</v>
      </c>
      <c r="C399" s="159"/>
      <c r="D399" s="404"/>
      <c r="E399" s="158"/>
      <c r="F399" s="185"/>
      <c r="G399" s="269"/>
      <c r="H399" s="272"/>
    </row>
    <row r="400" spans="1:9" s="371" customFormat="1" x14ac:dyDescent="0.25">
      <c r="A400" s="237" t="s">
        <v>86</v>
      </c>
      <c r="B400" s="231" t="s">
        <v>278</v>
      </c>
      <c r="C400" s="159" t="s">
        <v>72</v>
      </c>
      <c r="D400" s="404">
        <v>235</v>
      </c>
      <c r="E400" s="158"/>
      <c r="F400" s="185"/>
      <c r="G400" s="269"/>
      <c r="H400" s="272"/>
    </row>
    <row r="401" spans="1:8" s="371" customFormat="1" x14ac:dyDescent="0.25">
      <c r="A401" s="237"/>
      <c r="B401" s="157"/>
      <c r="C401" s="159" t="s">
        <v>72</v>
      </c>
      <c r="D401" s="405">
        <f>SUM(D400:D400)</f>
        <v>235</v>
      </c>
      <c r="E401" s="158"/>
      <c r="F401" s="185"/>
      <c r="G401" s="269"/>
      <c r="H401" s="272"/>
    </row>
    <row r="402" spans="1:8" s="371" customFormat="1" x14ac:dyDescent="0.25">
      <c r="A402" s="237" t="s">
        <v>86</v>
      </c>
      <c r="B402" s="156" t="s">
        <v>406</v>
      </c>
      <c r="C402" s="159" t="s">
        <v>76</v>
      </c>
      <c r="D402" s="158">
        <f>1.95*1.05</f>
        <v>2.0474999999999999</v>
      </c>
      <c r="E402" s="158"/>
      <c r="F402" s="185"/>
      <c r="G402" s="269">
        <v>1.5</v>
      </c>
      <c r="H402" s="272">
        <v>3.07125</v>
      </c>
    </row>
    <row r="403" spans="1:8" s="371" customFormat="1" x14ac:dyDescent="0.25">
      <c r="A403" s="237" t="s">
        <v>85</v>
      </c>
      <c r="B403" s="156" t="s">
        <v>407</v>
      </c>
      <c r="C403" s="159" t="s">
        <v>76</v>
      </c>
      <c r="D403" s="158">
        <f>D389*0.05*1.05</f>
        <v>0.82425000000000004</v>
      </c>
      <c r="E403" s="158"/>
      <c r="F403" s="185"/>
      <c r="G403" s="269"/>
      <c r="H403" s="272"/>
    </row>
    <row r="404" spans="1:8" s="371" customFormat="1" x14ac:dyDescent="0.25">
      <c r="A404" s="237" t="s">
        <v>86</v>
      </c>
      <c r="B404" s="156" t="s">
        <v>356</v>
      </c>
      <c r="C404" s="159" t="s">
        <v>72</v>
      </c>
      <c r="D404" s="158">
        <f>D398</f>
        <v>103</v>
      </c>
      <c r="E404" s="158"/>
      <c r="F404" s="185"/>
      <c r="G404" s="269"/>
      <c r="H404" s="272"/>
    </row>
    <row r="405" spans="1:8" s="371" customFormat="1" x14ac:dyDescent="0.25">
      <c r="A405" s="237" t="s">
        <v>86</v>
      </c>
      <c r="B405" s="156" t="s">
        <v>408</v>
      </c>
      <c r="C405" s="159" t="s">
        <v>105</v>
      </c>
      <c r="D405" s="158">
        <v>11.3</v>
      </c>
      <c r="E405" s="158"/>
      <c r="F405" s="185"/>
      <c r="G405" s="269"/>
      <c r="H405" s="272"/>
    </row>
    <row r="406" spans="1:8" s="371" customFormat="1" x14ac:dyDescent="0.25">
      <c r="A406" s="237" t="s">
        <v>86</v>
      </c>
      <c r="B406" s="156" t="s">
        <v>146</v>
      </c>
      <c r="C406" s="159" t="s">
        <v>72</v>
      </c>
      <c r="D406" s="158">
        <v>8</v>
      </c>
      <c r="E406" s="158"/>
      <c r="F406" s="185"/>
      <c r="G406" s="269">
        <v>5.3399999999999997E-4</v>
      </c>
      <c r="H406" s="272">
        <v>4.2719999999999998E-3</v>
      </c>
    </row>
    <row r="407" spans="1:8" s="371" customFormat="1" x14ac:dyDescent="0.25">
      <c r="A407" s="237" t="s">
        <v>79</v>
      </c>
      <c r="B407" s="156" t="s">
        <v>409</v>
      </c>
      <c r="C407" s="159" t="s">
        <v>105</v>
      </c>
      <c r="D407" s="158">
        <f>D405</f>
        <v>11.3</v>
      </c>
      <c r="E407" s="158"/>
      <c r="F407" s="185"/>
      <c r="G407" s="269"/>
      <c r="H407" s="272"/>
    </row>
    <row r="408" spans="1:8" s="371" customFormat="1" x14ac:dyDescent="0.25">
      <c r="A408" s="237" t="s">
        <v>410</v>
      </c>
      <c r="B408" s="156" t="s">
        <v>411</v>
      </c>
      <c r="C408" s="159" t="s">
        <v>76</v>
      </c>
      <c r="D408" s="158">
        <f>D389*0.08</f>
        <v>1.256</v>
      </c>
      <c r="E408" s="158"/>
      <c r="F408" s="185"/>
      <c r="G408" s="269"/>
      <c r="H408" s="272"/>
    </row>
    <row r="409" spans="1:8" s="371" customFormat="1" x14ac:dyDescent="0.25">
      <c r="A409" s="237" t="s">
        <v>87</v>
      </c>
      <c r="B409" s="156" t="s">
        <v>88</v>
      </c>
      <c r="C409" s="159" t="s">
        <v>76</v>
      </c>
      <c r="D409" s="158">
        <f>D408</f>
        <v>1.256</v>
      </c>
      <c r="E409" s="158"/>
      <c r="F409" s="185"/>
      <c r="G409" s="269"/>
      <c r="H409" s="272"/>
    </row>
    <row r="410" spans="1:8" s="371" customFormat="1" x14ac:dyDescent="0.25">
      <c r="A410" s="237" t="s">
        <v>89</v>
      </c>
      <c r="B410" s="156" t="s">
        <v>90</v>
      </c>
      <c r="C410" s="159" t="s">
        <v>76</v>
      </c>
      <c r="D410" s="158">
        <f>D408</f>
        <v>1.256</v>
      </c>
      <c r="E410" s="158"/>
      <c r="F410" s="185"/>
      <c r="G410" s="269"/>
      <c r="H410" s="272"/>
    </row>
    <row r="411" spans="1:8" s="371" customFormat="1" x14ac:dyDescent="0.25">
      <c r="A411" s="237" t="s">
        <v>79</v>
      </c>
      <c r="B411" s="156" t="s">
        <v>412</v>
      </c>
      <c r="C411" s="159" t="s">
        <v>76</v>
      </c>
      <c r="D411" s="158">
        <f>D410</f>
        <v>1.256</v>
      </c>
      <c r="E411" s="158"/>
      <c r="F411" s="185"/>
      <c r="G411" s="269"/>
      <c r="H411" s="272"/>
    </row>
    <row r="412" spans="1:8" s="371" customFormat="1" x14ac:dyDescent="0.25">
      <c r="A412" s="237" t="s">
        <v>79</v>
      </c>
      <c r="B412" s="156" t="s">
        <v>145</v>
      </c>
      <c r="C412" s="159" t="s">
        <v>75</v>
      </c>
      <c r="D412" s="158">
        <f>D389</f>
        <v>15.7</v>
      </c>
      <c r="E412" s="158"/>
      <c r="F412" s="185"/>
      <c r="G412" s="269"/>
      <c r="H412" s="272"/>
    </row>
    <row r="413" spans="1:8" s="371" customFormat="1" x14ac:dyDescent="0.25">
      <c r="A413" s="237" t="s">
        <v>85</v>
      </c>
      <c r="B413" s="156" t="s">
        <v>131</v>
      </c>
      <c r="C413" s="159" t="s">
        <v>76</v>
      </c>
      <c r="D413" s="158">
        <f>D402</f>
        <v>2.0474999999999999</v>
      </c>
      <c r="E413" s="158"/>
      <c r="F413" s="185"/>
      <c r="G413" s="269"/>
      <c r="H413" s="272"/>
    </row>
    <row r="414" spans="1:8" s="371" customFormat="1" x14ac:dyDescent="0.25">
      <c r="A414" s="237" t="s">
        <v>87</v>
      </c>
      <c r="B414" s="156" t="s">
        <v>88</v>
      </c>
      <c r="C414" s="159" t="s">
        <v>76</v>
      </c>
      <c r="D414" s="158">
        <f>D413</f>
        <v>2.0474999999999999</v>
      </c>
      <c r="E414" s="158"/>
      <c r="F414" s="185"/>
      <c r="G414" s="269"/>
      <c r="H414" s="272"/>
    </row>
    <row r="415" spans="1:8" s="371" customFormat="1" x14ac:dyDescent="0.25">
      <c r="A415" s="237" t="s">
        <v>89</v>
      </c>
      <c r="B415" s="156" t="s">
        <v>90</v>
      </c>
      <c r="C415" s="159" t="s">
        <v>76</v>
      </c>
      <c r="D415" s="158">
        <f>D413</f>
        <v>2.0474999999999999</v>
      </c>
      <c r="E415" s="158"/>
      <c r="F415" s="185"/>
      <c r="G415" s="269"/>
      <c r="H415" s="272"/>
    </row>
    <row r="416" spans="1:8" s="371" customFormat="1" x14ac:dyDescent="0.25">
      <c r="A416" s="237" t="s">
        <v>139</v>
      </c>
      <c r="B416" s="156" t="s">
        <v>198</v>
      </c>
      <c r="C416" s="159" t="s">
        <v>75</v>
      </c>
      <c r="D416" s="158">
        <f>D412</f>
        <v>15.7</v>
      </c>
      <c r="E416" s="158"/>
      <c r="F416" s="185"/>
      <c r="G416" s="269"/>
      <c r="H416" s="272"/>
    </row>
    <row r="417" spans="1:9" s="371" customFormat="1" x14ac:dyDescent="0.25">
      <c r="A417" s="237" t="s">
        <v>91</v>
      </c>
      <c r="B417" s="156" t="s">
        <v>125</v>
      </c>
      <c r="C417" s="159" t="s">
        <v>75</v>
      </c>
      <c r="D417" s="158">
        <f>D412*2</f>
        <v>31.4</v>
      </c>
      <c r="E417" s="158"/>
      <c r="F417" s="185"/>
      <c r="G417" s="269"/>
      <c r="H417" s="272"/>
    </row>
    <row r="418" spans="1:9" s="371" customFormat="1" x14ac:dyDescent="0.25">
      <c r="A418" s="237" t="s">
        <v>92</v>
      </c>
      <c r="B418" s="156" t="s">
        <v>294</v>
      </c>
      <c r="C418" s="159" t="s">
        <v>75</v>
      </c>
      <c r="D418" s="158">
        <f>D412*2</f>
        <v>31.4</v>
      </c>
      <c r="E418" s="158"/>
      <c r="F418" s="185"/>
      <c r="G418" s="269"/>
      <c r="H418" s="272"/>
    </row>
    <row r="419" spans="1:9" s="371" customFormat="1" x14ac:dyDescent="0.25">
      <c r="A419" s="237" t="s">
        <v>201</v>
      </c>
      <c r="B419" s="156" t="s">
        <v>140</v>
      </c>
      <c r="C419" s="159" t="s">
        <v>72</v>
      </c>
      <c r="D419" s="158">
        <f>D398</f>
        <v>103</v>
      </c>
      <c r="E419" s="158"/>
      <c r="F419" s="185"/>
      <c r="G419" s="269"/>
      <c r="H419" s="272"/>
    </row>
    <row r="420" spans="1:9" s="371" customFormat="1" ht="20.399999999999999" x14ac:dyDescent="0.25">
      <c r="A420" s="237" t="s">
        <v>199</v>
      </c>
      <c r="B420" s="156" t="s">
        <v>200</v>
      </c>
      <c r="C420" s="159" t="s">
        <v>72</v>
      </c>
      <c r="D420" s="158">
        <f>D398</f>
        <v>103</v>
      </c>
      <c r="E420" s="158"/>
      <c r="F420" s="185"/>
      <c r="G420" s="269"/>
      <c r="H420" s="272"/>
    </row>
    <row r="421" spans="1:9" s="371" customFormat="1" x14ac:dyDescent="0.25">
      <c r="A421" s="237" t="s">
        <v>201</v>
      </c>
      <c r="B421" s="156" t="s">
        <v>140</v>
      </c>
      <c r="C421" s="159" t="s">
        <v>72</v>
      </c>
      <c r="D421" s="158">
        <f>D401</f>
        <v>235</v>
      </c>
      <c r="E421" s="158"/>
      <c r="F421" s="185"/>
      <c r="G421" s="269"/>
      <c r="H421" s="272"/>
    </row>
    <row r="422" spans="1:9" s="371" customFormat="1" x14ac:dyDescent="0.25">
      <c r="A422" s="237" t="s">
        <v>295</v>
      </c>
      <c r="B422" s="156" t="s">
        <v>296</v>
      </c>
      <c r="C422" s="159" t="s">
        <v>72</v>
      </c>
      <c r="D422" s="158">
        <f>D421</f>
        <v>235</v>
      </c>
      <c r="E422" s="158"/>
      <c r="F422" s="185"/>
      <c r="G422" s="269"/>
      <c r="H422" s="272"/>
    </row>
    <row r="423" spans="1:9" s="371" customFormat="1" x14ac:dyDescent="0.25">
      <c r="A423" s="237" t="s">
        <v>95</v>
      </c>
      <c r="B423" s="156" t="s">
        <v>124</v>
      </c>
      <c r="C423" s="159" t="s">
        <v>77</v>
      </c>
      <c r="D423" s="158">
        <f>(D404/100000)</f>
        <v>1.0300000000000001E-3</v>
      </c>
      <c r="E423" s="158"/>
      <c r="F423" s="185"/>
      <c r="G423" s="269"/>
      <c r="H423" s="272"/>
    </row>
    <row r="424" spans="1:9" s="371" customFormat="1" x14ac:dyDescent="0.25">
      <c r="A424" s="237" t="s">
        <v>413</v>
      </c>
      <c r="B424" s="156" t="s">
        <v>414</v>
      </c>
      <c r="C424" s="159" t="s">
        <v>75</v>
      </c>
      <c r="D424" s="158">
        <f>D416</f>
        <v>15.7</v>
      </c>
      <c r="E424" s="158"/>
      <c r="F424" s="185"/>
      <c r="G424" s="269"/>
      <c r="H424" s="272"/>
    </row>
    <row r="425" spans="1:9" s="371" customFormat="1" x14ac:dyDescent="0.25">
      <c r="A425" s="237" t="s">
        <v>98</v>
      </c>
      <c r="B425" s="156" t="s">
        <v>99</v>
      </c>
      <c r="C425" s="159" t="s">
        <v>76</v>
      </c>
      <c r="D425" s="158">
        <f>D389*0.02</f>
        <v>0.314</v>
      </c>
      <c r="E425" s="158"/>
      <c r="F425" s="185"/>
      <c r="G425" s="269"/>
      <c r="H425" s="272"/>
    </row>
    <row r="426" spans="1:9" s="371" customFormat="1" x14ac:dyDescent="0.25">
      <c r="A426" s="237" t="s">
        <v>375</v>
      </c>
      <c r="B426" s="156" t="s">
        <v>101</v>
      </c>
      <c r="C426" s="159" t="s">
        <v>77</v>
      </c>
      <c r="D426" s="158">
        <f>H426</f>
        <v>3.3154219999999999</v>
      </c>
      <c r="E426" s="158"/>
      <c r="F426" s="185"/>
      <c r="G426" s="269"/>
      <c r="H426" s="273">
        <v>3.3154219999999999</v>
      </c>
    </row>
    <row r="427" spans="1:9" s="371" customFormat="1" x14ac:dyDescent="0.25">
      <c r="A427" s="237"/>
      <c r="B427" s="156"/>
      <c r="C427" s="159"/>
      <c r="D427" s="158"/>
      <c r="E427" s="158"/>
      <c r="F427" s="185"/>
      <c r="G427" s="269"/>
      <c r="H427" s="273"/>
    </row>
    <row r="428" spans="1:9" s="371" customFormat="1" ht="13.8" thickBot="1" x14ac:dyDescent="0.3">
      <c r="A428" s="237" t="s">
        <v>85</v>
      </c>
      <c r="B428" s="156" t="s">
        <v>415</v>
      </c>
      <c r="C428" s="159"/>
      <c r="D428" s="158"/>
      <c r="E428" s="158"/>
      <c r="F428" s="185"/>
      <c r="G428" s="269"/>
      <c r="H428" s="272"/>
    </row>
    <row r="429" spans="1:9" s="371" customFormat="1" ht="13.8" thickBot="1" x14ac:dyDescent="0.3">
      <c r="A429" s="291"/>
      <c r="B429" s="206" t="s">
        <v>416</v>
      </c>
      <c r="C429" s="207" t="s">
        <v>75</v>
      </c>
      <c r="D429" s="194">
        <v>88.5</v>
      </c>
      <c r="E429" s="194"/>
      <c r="F429" s="195"/>
      <c r="G429" s="283"/>
      <c r="H429" s="295"/>
      <c r="I429" s="318">
        <f>SUM(F430:F484)</f>
        <v>0</v>
      </c>
    </row>
    <row r="430" spans="1:9" s="371" customFormat="1" x14ac:dyDescent="0.25">
      <c r="A430" s="241"/>
      <c r="B430" s="209" t="s">
        <v>115</v>
      </c>
      <c r="C430" s="205" t="s">
        <v>75</v>
      </c>
      <c r="D430" s="401">
        <f>D439</f>
        <v>88.5</v>
      </c>
      <c r="E430" s="189"/>
      <c r="F430" s="190"/>
      <c r="G430" s="282"/>
      <c r="H430" s="294"/>
    </row>
    <row r="431" spans="1:9" s="371" customFormat="1" x14ac:dyDescent="0.25">
      <c r="A431" s="237" t="s">
        <v>79</v>
      </c>
      <c r="B431" s="156" t="s">
        <v>151</v>
      </c>
      <c r="C431" s="159" t="s">
        <v>75</v>
      </c>
      <c r="D431" s="158">
        <f>D430</f>
        <v>88.5</v>
      </c>
      <c r="E431" s="158"/>
      <c r="F431" s="185"/>
      <c r="G431" s="269"/>
      <c r="H431" s="272"/>
    </row>
    <row r="432" spans="1:9" s="371" customFormat="1" x14ac:dyDescent="0.25">
      <c r="A432" s="237" t="s">
        <v>138</v>
      </c>
      <c r="B432" s="156" t="s">
        <v>300</v>
      </c>
      <c r="C432" s="159" t="s">
        <v>75</v>
      </c>
      <c r="D432" s="158">
        <f>(D430/3)*2*2</f>
        <v>118</v>
      </c>
      <c r="E432" s="158"/>
      <c r="F432" s="185"/>
      <c r="G432" s="269"/>
      <c r="H432" s="272"/>
    </row>
    <row r="433" spans="1:8" s="371" customFormat="1" x14ac:dyDescent="0.25">
      <c r="A433" s="237" t="s">
        <v>86</v>
      </c>
      <c r="B433" s="156" t="s">
        <v>119</v>
      </c>
      <c r="C433" s="159" t="s">
        <v>106</v>
      </c>
      <c r="D433" s="158">
        <f>(D432/100)*0.2</f>
        <v>0.23599999999999999</v>
      </c>
      <c r="E433" s="158"/>
      <c r="F433" s="185"/>
      <c r="G433" s="269"/>
      <c r="H433" s="272"/>
    </row>
    <row r="434" spans="1:8" s="371" customFormat="1" x14ac:dyDescent="0.25">
      <c r="A434" s="237" t="s">
        <v>85</v>
      </c>
      <c r="B434" s="156" t="s">
        <v>116</v>
      </c>
      <c r="C434" s="159"/>
      <c r="D434" s="158"/>
      <c r="E434" s="158"/>
      <c r="F434" s="185"/>
      <c r="G434" s="269"/>
      <c r="H434" s="272"/>
    </row>
    <row r="435" spans="1:8" s="371" customFormat="1" x14ac:dyDescent="0.25">
      <c r="A435" s="237" t="s">
        <v>82</v>
      </c>
      <c r="B435" s="156" t="s">
        <v>320</v>
      </c>
      <c r="C435" s="159" t="s">
        <v>76</v>
      </c>
      <c r="D435" s="158">
        <f>D430/2*0.03</f>
        <v>1.3274999999999999</v>
      </c>
      <c r="E435" s="158"/>
      <c r="F435" s="185"/>
      <c r="G435" s="269">
        <v>0.8</v>
      </c>
      <c r="H435" s="272">
        <v>1.0620000000000001</v>
      </c>
    </row>
    <row r="436" spans="1:8" s="371" customFormat="1" x14ac:dyDescent="0.25">
      <c r="A436" s="237" t="s">
        <v>83</v>
      </c>
      <c r="B436" s="156" t="s">
        <v>84</v>
      </c>
      <c r="C436" s="159" t="s">
        <v>75</v>
      </c>
      <c r="D436" s="158">
        <f>D430*0.5</f>
        <v>44.25</v>
      </c>
      <c r="E436" s="158"/>
      <c r="F436" s="185"/>
      <c r="G436" s="269"/>
      <c r="H436" s="272"/>
    </row>
    <row r="437" spans="1:8" s="371" customFormat="1" x14ac:dyDescent="0.25">
      <c r="A437" s="237" t="s">
        <v>85</v>
      </c>
      <c r="B437" s="157" t="s">
        <v>134</v>
      </c>
      <c r="C437" s="159" t="s">
        <v>75</v>
      </c>
      <c r="D437" s="173">
        <f>D430</f>
        <v>88.5</v>
      </c>
      <c r="E437" s="158"/>
      <c r="F437" s="185"/>
      <c r="G437" s="269"/>
      <c r="H437" s="272"/>
    </row>
    <row r="438" spans="1:8" s="371" customFormat="1" ht="20.399999999999999" x14ac:dyDescent="0.25">
      <c r="A438" s="237" t="s">
        <v>118</v>
      </c>
      <c r="B438" s="156" t="s">
        <v>117</v>
      </c>
      <c r="C438" s="159" t="s">
        <v>75</v>
      </c>
      <c r="D438" s="158">
        <f>D437</f>
        <v>88.5</v>
      </c>
      <c r="E438" s="158"/>
      <c r="F438" s="185"/>
      <c r="G438" s="269"/>
      <c r="H438" s="272"/>
    </row>
    <row r="439" spans="1:8" s="371" customFormat="1" x14ac:dyDescent="0.25">
      <c r="A439" s="237"/>
      <c r="B439" s="157" t="s">
        <v>405</v>
      </c>
      <c r="C439" s="159" t="s">
        <v>75</v>
      </c>
      <c r="D439" s="405">
        <v>88.5</v>
      </c>
      <c r="E439" s="158"/>
      <c r="F439" s="185"/>
      <c r="G439" s="269"/>
      <c r="H439" s="272"/>
    </row>
    <row r="440" spans="1:8" s="371" customFormat="1" x14ac:dyDescent="0.25">
      <c r="A440" s="237" t="s">
        <v>86</v>
      </c>
      <c r="B440" s="231" t="s">
        <v>235</v>
      </c>
      <c r="C440" s="159" t="s">
        <v>72</v>
      </c>
      <c r="D440" s="158">
        <v>48</v>
      </c>
      <c r="E440" s="158"/>
      <c r="F440" s="185"/>
      <c r="G440" s="269">
        <v>5.3399999999999997E-4</v>
      </c>
      <c r="H440" s="272">
        <v>2.5631999999999999E-2</v>
      </c>
    </row>
    <row r="441" spans="1:8" s="371" customFormat="1" x14ac:dyDescent="0.25">
      <c r="A441" s="237" t="s">
        <v>86</v>
      </c>
      <c r="B441" s="231" t="s">
        <v>236</v>
      </c>
      <c r="C441" s="159" t="s">
        <v>72</v>
      </c>
      <c r="D441" s="158">
        <v>47</v>
      </c>
      <c r="E441" s="158"/>
      <c r="F441" s="185"/>
      <c r="G441" s="269">
        <v>5.3399999999999997E-4</v>
      </c>
      <c r="H441" s="272">
        <v>2.5097999999999999E-2</v>
      </c>
    </row>
    <row r="442" spans="1:8" s="371" customFormat="1" x14ac:dyDescent="0.25">
      <c r="A442" s="237" t="s">
        <v>86</v>
      </c>
      <c r="B442" s="231" t="s">
        <v>237</v>
      </c>
      <c r="C442" s="159" t="s">
        <v>72</v>
      </c>
      <c r="D442" s="158">
        <v>25</v>
      </c>
      <c r="E442" s="158"/>
      <c r="F442" s="185"/>
      <c r="G442" s="269">
        <v>5.3399999999999997E-4</v>
      </c>
      <c r="H442" s="272">
        <v>1.3349999999999999E-2</v>
      </c>
    </row>
    <row r="443" spans="1:8" s="371" customFormat="1" x14ac:dyDescent="0.25">
      <c r="A443" s="237" t="s">
        <v>86</v>
      </c>
      <c r="B443" s="231" t="s">
        <v>240</v>
      </c>
      <c r="C443" s="159" t="s">
        <v>72</v>
      </c>
      <c r="D443" s="158">
        <v>12</v>
      </c>
      <c r="E443" s="158"/>
      <c r="F443" s="185"/>
      <c r="G443" s="269">
        <v>5.3399999999999997E-4</v>
      </c>
      <c r="H443" s="272">
        <v>6.4079999999999996E-3</v>
      </c>
    </row>
    <row r="444" spans="1:8" s="371" customFormat="1" x14ac:dyDescent="0.25">
      <c r="A444" s="237" t="s">
        <v>86</v>
      </c>
      <c r="B444" s="231" t="s">
        <v>243</v>
      </c>
      <c r="C444" s="159" t="s">
        <v>72</v>
      </c>
      <c r="D444" s="158">
        <v>50</v>
      </c>
      <c r="E444" s="158"/>
      <c r="F444" s="185"/>
      <c r="G444" s="269">
        <v>5.3399999999999997E-4</v>
      </c>
      <c r="H444" s="272">
        <v>2.6699999999999998E-2</v>
      </c>
    </row>
    <row r="445" spans="1:8" s="371" customFormat="1" x14ac:dyDescent="0.25">
      <c r="A445" s="237" t="s">
        <v>86</v>
      </c>
      <c r="B445" s="231" t="s">
        <v>245</v>
      </c>
      <c r="C445" s="159" t="s">
        <v>72</v>
      </c>
      <c r="D445" s="158">
        <v>12</v>
      </c>
      <c r="E445" s="158"/>
      <c r="F445" s="185"/>
      <c r="G445" s="269">
        <v>5.3399999999999997E-4</v>
      </c>
      <c r="H445" s="272">
        <v>6.4079999999999996E-3</v>
      </c>
    </row>
    <row r="446" spans="1:8" s="371" customFormat="1" x14ac:dyDescent="0.25">
      <c r="A446" s="237" t="s">
        <v>86</v>
      </c>
      <c r="B446" s="231" t="s">
        <v>272</v>
      </c>
      <c r="C446" s="159" t="s">
        <v>72</v>
      </c>
      <c r="D446" s="158">
        <v>73</v>
      </c>
      <c r="E446" s="158"/>
      <c r="F446" s="185"/>
      <c r="G446" s="269">
        <v>5.3399999999999997E-4</v>
      </c>
      <c r="H446" s="272">
        <v>3.8981999999999996E-2</v>
      </c>
    </row>
    <row r="447" spans="1:8" s="371" customFormat="1" x14ac:dyDescent="0.25">
      <c r="A447" s="237" t="s">
        <v>86</v>
      </c>
      <c r="B447" s="231" t="s">
        <v>273</v>
      </c>
      <c r="C447" s="159" t="s">
        <v>72</v>
      </c>
      <c r="D447" s="158">
        <v>96</v>
      </c>
      <c r="E447" s="158"/>
      <c r="F447" s="185"/>
      <c r="G447" s="269">
        <v>5.3399999999999997E-4</v>
      </c>
      <c r="H447" s="272">
        <v>5.1263999999999997E-2</v>
      </c>
    </row>
    <row r="448" spans="1:8" s="371" customFormat="1" x14ac:dyDescent="0.25">
      <c r="A448" s="237" t="s">
        <v>86</v>
      </c>
      <c r="B448" s="160" t="s">
        <v>420</v>
      </c>
      <c r="C448" s="159" t="s">
        <v>72</v>
      </c>
      <c r="D448" s="158">
        <v>95</v>
      </c>
      <c r="E448" s="158"/>
      <c r="F448" s="185"/>
      <c r="G448" s="269">
        <v>5.3399999999999997E-4</v>
      </c>
      <c r="H448" s="272">
        <v>5.0729999999999997E-2</v>
      </c>
    </row>
    <row r="449" spans="1:8" s="371" customFormat="1" x14ac:dyDescent="0.25">
      <c r="A449" s="237" t="s">
        <v>86</v>
      </c>
      <c r="B449" s="160" t="s">
        <v>421</v>
      </c>
      <c r="C449" s="159" t="s">
        <v>72</v>
      </c>
      <c r="D449" s="158">
        <v>48</v>
      </c>
      <c r="E449" s="158"/>
      <c r="F449" s="185"/>
      <c r="G449" s="269">
        <v>5.3399999999999997E-4</v>
      </c>
      <c r="H449" s="272">
        <v>2.5631999999999999E-2</v>
      </c>
    </row>
    <row r="450" spans="1:8" s="371" customFormat="1" x14ac:dyDescent="0.25">
      <c r="A450" s="237" t="s">
        <v>86</v>
      </c>
      <c r="B450" s="231" t="s">
        <v>275</v>
      </c>
      <c r="C450" s="159" t="s">
        <v>72</v>
      </c>
      <c r="D450" s="158">
        <v>25</v>
      </c>
      <c r="E450" s="158"/>
      <c r="F450" s="185"/>
      <c r="G450" s="269">
        <v>5.3399999999999997E-4</v>
      </c>
      <c r="H450" s="272">
        <v>1.3349999999999999E-2</v>
      </c>
    </row>
    <row r="451" spans="1:8" s="371" customFormat="1" x14ac:dyDescent="0.25">
      <c r="A451" s="237" t="s">
        <v>86</v>
      </c>
      <c r="B451" s="231" t="s">
        <v>276</v>
      </c>
      <c r="C451" s="159" t="s">
        <v>72</v>
      </c>
      <c r="D451" s="158">
        <v>24</v>
      </c>
      <c r="E451" s="158"/>
      <c r="F451" s="185"/>
      <c r="G451" s="269">
        <v>5.3399999999999997E-4</v>
      </c>
      <c r="H451" s="272">
        <v>1.2815999999999999E-2</v>
      </c>
    </row>
    <row r="452" spans="1:8" s="371" customFormat="1" x14ac:dyDescent="0.25">
      <c r="A452" s="237" t="s">
        <v>86</v>
      </c>
      <c r="B452" s="231" t="s">
        <v>277</v>
      </c>
      <c r="C452" s="159" t="s">
        <v>72</v>
      </c>
      <c r="D452" s="158">
        <v>24</v>
      </c>
      <c r="E452" s="158"/>
      <c r="F452" s="185"/>
      <c r="G452" s="269">
        <v>5.3399999999999997E-4</v>
      </c>
      <c r="H452" s="272">
        <v>1.2815999999999999E-2</v>
      </c>
    </row>
    <row r="453" spans="1:8" s="371" customFormat="1" x14ac:dyDescent="0.25">
      <c r="A453" s="237"/>
      <c r="B453" s="231"/>
      <c r="C453" s="159" t="s">
        <v>72</v>
      </c>
      <c r="D453" s="405">
        <f>SUM(D440:D452)</f>
        <v>579</v>
      </c>
      <c r="E453" s="158"/>
      <c r="F453" s="185"/>
      <c r="G453" s="269"/>
      <c r="H453" s="272"/>
    </row>
    <row r="454" spans="1:8" s="371" customFormat="1" x14ac:dyDescent="0.25">
      <c r="A454" s="237"/>
      <c r="B454" s="157" t="s">
        <v>318</v>
      </c>
      <c r="C454" s="159"/>
      <c r="D454" s="404"/>
      <c r="E454" s="158"/>
      <c r="F454" s="185"/>
      <c r="G454" s="269"/>
      <c r="H454" s="272"/>
    </row>
    <row r="455" spans="1:8" s="371" customFormat="1" x14ac:dyDescent="0.25">
      <c r="A455" s="237" t="s">
        <v>86</v>
      </c>
      <c r="B455" s="231" t="s">
        <v>217</v>
      </c>
      <c r="C455" s="159" t="s">
        <v>72</v>
      </c>
      <c r="D455" s="158">
        <v>2655</v>
      </c>
      <c r="E455" s="158"/>
      <c r="F455" s="185"/>
      <c r="G455" s="269"/>
      <c r="H455" s="272"/>
    </row>
    <row r="456" spans="1:8" s="371" customFormat="1" x14ac:dyDescent="0.25">
      <c r="A456" s="237" t="s">
        <v>86</v>
      </c>
      <c r="B456" s="231" t="s">
        <v>278</v>
      </c>
      <c r="C456" s="159" t="s">
        <v>72</v>
      </c>
      <c r="D456" s="158">
        <v>1327</v>
      </c>
      <c r="E456" s="158"/>
      <c r="F456" s="185"/>
      <c r="G456" s="269"/>
      <c r="H456" s="272"/>
    </row>
    <row r="457" spans="1:8" s="371" customFormat="1" x14ac:dyDescent="0.25">
      <c r="A457" s="237"/>
      <c r="B457" s="231"/>
      <c r="C457" s="159" t="s">
        <v>72</v>
      </c>
      <c r="D457" s="405">
        <f>SUM(D455:D456)</f>
        <v>3982</v>
      </c>
      <c r="E457" s="158"/>
      <c r="F457" s="185"/>
      <c r="G457" s="269"/>
      <c r="H457" s="272"/>
    </row>
    <row r="458" spans="1:8" s="371" customFormat="1" x14ac:dyDescent="0.25">
      <c r="A458" s="237"/>
      <c r="B458" s="157" t="s">
        <v>160</v>
      </c>
      <c r="C458" s="159"/>
      <c r="D458" s="404"/>
      <c r="E458" s="158"/>
      <c r="F458" s="185"/>
      <c r="G458" s="269"/>
      <c r="H458" s="272"/>
    </row>
    <row r="459" spans="1:8" s="371" customFormat="1" x14ac:dyDescent="0.25">
      <c r="A459" s="237" t="s">
        <v>86</v>
      </c>
      <c r="B459" s="231" t="s">
        <v>114</v>
      </c>
      <c r="C459" s="159" t="s">
        <v>72</v>
      </c>
      <c r="D459" s="405">
        <v>1</v>
      </c>
      <c r="E459" s="158"/>
      <c r="F459" s="185"/>
      <c r="G459" s="269">
        <v>3.0000000000000001E-3</v>
      </c>
      <c r="H459" s="272">
        <v>3.0000000000000001E-3</v>
      </c>
    </row>
    <row r="460" spans="1:8" s="371" customFormat="1" x14ac:dyDescent="0.25">
      <c r="A460" s="237"/>
      <c r="B460" s="157"/>
      <c r="C460" s="159"/>
      <c r="D460" s="404"/>
      <c r="E460" s="158"/>
      <c r="F460" s="185"/>
      <c r="G460" s="269"/>
      <c r="H460" s="272"/>
    </row>
    <row r="461" spans="1:8" s="371" customFormat="1" x14ac:dyDescent="0.25">
      <c r="A461" s="237" t="s">
        <v>86</v>
      </c>
      <c r="B461" s="156" t="s">
        <v>406</v>
      </c>
      <c r="C461" s="159" t="s">
        <v>76</v>
      </c>
      <c r="D461" s="158">
        <f>11*1.05</f>
        <v>11.55</v>
      </c>
      <c r="E461" s="158"/>
      <c r="F461" s="185"/>
      <c r="G461" s="269">
        <v>1.5</v>
      </c>
      <c r="H461" s="272">
        <v>17.325000000000003</v>
      </c>
    </row>
    <row r="462" spans="1:8" s="371" customFormat="1" x14ac:dyDescent="0.25">
      <c r="A462" s="237" t="s">
        <v>85</v>
      </c>
      <c r="B462" s="156" t="s">
        <v>407</v>
      </c>
      <c r="C462" s="159" t="s">
        <v>76</v>
      </c>
      <c r="D462" s="158">
        <f>D439*0.05*1.05</f>
        <v>4.6462500000000002</v>
      </c>
      <c r="E462" s="158"/>
      <c r="F462" s="185"/>
      <c r="G462" s="269"/>
      <c r="H462" s="272"/>
    </row>
    <row r="463" spans="1:8" s="371" customFormat="1" x14ac:dyDescent="0.25">
      <c r="A463" s="237" t="s">
        <v>86</v>
      </c>
      <c r="B463" s="156" t="s">
        <v>356</v>
      </c>
      <c r="C463" s="159" t="s">
        <v>72</v>
      </c>
      <c r="D463" s="158">
        <f>D453+(D459*3)</f>
        <v>582</v>
      </c>
      <c r="E463" s="158"/>
      <c r="F463" s="185"/>
      <c r="G463" s="269"/>
      <c r="H463" s="272"/>
    </row>
    <row r="464" spans="1:8" s="371" customFormat="1" x14ac:dyDescent="0.25">
      <c r="A464" s="237" t="s">
        <v>410</v>
      </c>
      <c r="B464" s="156" t="s">
        <v>411</v>
      </c>
      <c r="C464" s="159" t="s">
        <v>76</v>
      </c>
      <c r="D464" s="158">
        <f>D439*0.08</f>
        <v>7.08</v>
      </c>
      <c r="E464" s="158"/>
      <c r="F464" s="185"/>
      <c r="G464" s="269"/>
      <c r="H464" s="272"/>
    </row>
    <row r="465" spans="1:8" s="371" customFormat="1" x14ac:dyDescent="0.25">
      <c r="A465" s="237" t="s">
        <v>87</v>
      </c>
      <c r="B465" s="156" t="s">
        <v>88</v>
      </c>
      <c r="C465" s="159" t="s">
        <v>76</v>
      </c>
      <c r="D465" s="158">
        <f>D464</f>
        <v>7.08</v>
      </c>
      <c r="E465" s="158"/>
      <c r="F465" s="185"/>
      <c r="G465" s="269"/>
      <c r="H465" s="272"/>
    </row>
    <row r="466" spans="1:8" s="371" customFormat="1" x14ac:dyDescent="0.25">
      <c r="A466" s="237" t="s">
        <v>89</v>
      </c>
      <c r="B466" s="156" t="s">
        <v>90</v>
      </c>
      <c r="C466" s="159" t="s">
        <v>76</v>
      </c>
      <c r="D466" s="158">
        <f>D464</f>
        <v>7.08</v>
      </c>
      <c r="E466" s="158"/>
      <c r="F466" s="185"/>
      <c r="G466" s="269"/>
      <c r="H466" s="272"/>
    </row>
    <row r="467" spans="1:8" s="371" customFormat="1" x14ac:dyDescent="0.25">
      <c r="A467" s="237" t="s">
        <v>79</v>
      </c>
      <c r="B467" s="156" t="s">
        <v>412</v>
      </c>
      <c r="C467" s="159" t="s">
        <v>76</v>
      </c>
      <c r="D467" s="158">
        <f>D466</f>
        <v>7.08</v>
      </c>
      <c r="E467" s="158"/>
      <c r="F467" s="185"/>
      <c r="G467" s="269"/>
      <c r="H467" s="272"/>
    </row>
    <row r="468" spans="1:8" s="371" customFormat="1" x14ac:dyDescent="0.25">
      <c r="A468" s="237" t="s">
        <v>79</v>
      </c>
      <c r="B468" s="156" t="s">
        <v>145</v>
      </c>
      <c r="C468" s="159" t="s">
        <v>75</v>
      </c>
      <c r="D468" s="158">
        <f>D439</f>
        <v>88.5</v>
      </c>
      <c r="E468" s="158"/>
      <c r="F468" s="185"/>
      <c r="G468" s="269"/>
      <c r="H468" s="272"/>
    </row>
    <row r="469" spans="1:8" s="371" customFormat="1" x14ac:dyDescent="0.25">
      <c r="A469" s="237" t="s">
        <v>85</v>
      </c>
      <c r="B469" s="156" t="s">
        <v>131</v>
      </c>
      <c r="C469" s="159" t="s">
        <v>76</v>
      </c>
      <c r="D469" s="158">
        <f>D461</f>
        <v>11.55</v>
      </c>
      <c r="E469" s="158"/>
      <c r="F469" s="185"/>
      <c r="G469" s="269"/>
      <c r="H469" s="272"/>
    </row>
    <row r="470" spans="1:8" s="371" customFormat="1" x14ac:dyDescent="0.25">
      <c r="A470" s="237" t="s">
        <v>87</v>
      </c>
      <c r="B470" s="156" t="s">
        <v>88</v>
      </c>
      <c r="C470" s="159" t="s">
        <v>76</v>
      </c>
      <c r="D470" s="158">
        <f>D469</f>
        <v>11.55</v>
      </c>
      <c r="E470" s="158"/>
      <c r="F470" s="185"/>
      <c r="G470" s="269"/>
      <c r="H470" s="272"/>
    </row>
    <row r="471" spans="1:8" s="371" customFormat="1" x14ac:dyDescent="0.25">
      <c r="A471" s="237" t="s">
        <v>89</v>
      </c>
      <c r="B471" s="156" t="s">
        <v>90</v>
      </c>
      <c r="C471" s="159" t="s">
        <v>76</v>
      </c>
      <c r="D471" s="158">
        <f>D469</f>
        <v>11.55</v>
      </c>
      <c r="E471" s="158"/>
      <c r="F471" s="185"/>
      <c r="G471" s="269"/>
      <c r="H471" s="272"/>
    </row>
    <row r="472" spans="1:8" s="371" customFormat="1" x14ac:dyDescent="0.25">
      <c r="A472" s="237" t="s">
        <v>139</v>
      </c>
      <c r="B472" s="156" t="s">
        <v>198</v>
      </c>
      <c r="C472" s="159" t="s">
        <v>75</v>
      </c>
      <c r="D472" s="158">
        <f>D468</f>
        <v>88.5</v>
      </c>
      <c r="E472" s="158"/>
      <c r="F472" s="185"/>
      <c r="G472" s="269"/>
      <c r="H472" s="272"/>
    </row>
    <row r="473" spans="1:8" s="371" customFormat="1" x14ac:dyDescent="0.25">
      <c r="A473" s="237" t="s">
        <v>91</v>
      </c>
      <c r="B473" s="156" t="s">
        <v>125</v>
      </c>
      <c r="C473" s="159" t="s">
        <v>75</v>
      </c>
      <c r="D473" s="158">
        <f>D468*2</f>
        <v>177</v>
      </c>
      <c r="E473" s="158"/>
      <c r="F473" s="185"/>
      <c r="G473" s="269"/>
      <c r="H473" s="272"/>
    </row>
    <row r="474" spans="1:8" s="371" customFormat="1" x14ac:dyDescent="0.25">
      <c r="A474" s="237" t="s">
        <v>92</v>
      </c>
      <c r="B474" s="156" t="s">
        <v>294</v>
      </c>
      <c r="C474" s="159" t="s">
        <v>75</v>
      </c>
      <c r="D474" s="158">
        <f>D468*2</f>
        <v>177</v>
      </c>
      <c r="E474" s="158"/>
      <c r="F474" s="185"/>
      <c r="G474" s="269"/>
      <c r="H474" s="272"/>
    </row>
    <row r="475" spans="1:8" s="371" customFormat="1" x14ac:dyDescent="0.25">
      <c r="A475" s="237" t="s">
        <v>201</v>
      </c>
      <c r="B475" s="156" t="s">
        <v>140</v>
      </c>
      <c r="C475" s="159" t="s">
        <v>72</v>
      </c>
      <c r="D475" s="158">
        <f>D453</f>
        <v>579</v>
      </c>
      <c r="E475" s="158"/>
      <c r="F475" s="185"/>
      <c r="G475" s="269"/>
      <c r="H475" s="272"/>
    </row>
    <row r="476" spans="1:8" s="371" customFormat="1" ht="20.399999999999999" x14ac:dyDescent="0.25">
      <c r="A476" s="237" t="s">
        <v>199</v>
      </c>
      <c r="B476" s="156" t="s">
        <v>200</v>
      </c>
      <c r="C476" s="159" t="s">
        <v>72</v>
      </c>
      <c r="D476" s="158">
        <f>D453</f>
        <v>579</v>
      </c>
      <c r="E476" s="158"/>
      <c r="F476" s="185"/>
      <c r="G476" s="269"/>
      <c r="H476" s="272"/>
    </row>
    <row r="477" spans="1:8" s="371" customFormat="1" x14ac:dyDescent="0.25">
      <c r="A477" s="237" t="s">
        <v>201</v>
      </c>
      <c r="B477" s="156" t="s">
        <v>140</v>
      </c>
      <c r="C477" s="159" t="s">
        <v>72</v>
      </c>
      <c r="D477" s="158">
        <f>D457</f>
        <v>3982</v>
      </c>
      <c r="E477" s="158"/>
      <c r="F477" s="185"/>
      <c r="G477" s="269"/>
      <c r="H477" s="272"/>
    </row>
    <row r="478" spans="1:8" s="371" customFormat="1" x14ac:dyDescent="0.25">
      <c r="A478" s="237" t="s">
        <v>295</v>
      </c>
      <c r="B478" s="156" t="s">
        <v>296</v>
      </c>
      <c r="C478" s="159" t="s">
        <v>72</v>
      </c>
      <c r="D478" s="158">
        <f>D477</f>
        <v>3982</v>
      </c>
      <c r="E478" s="158"/>
      <c r="F478" s="185"/>
      <c r="G478" s="269"/>
      <c r="H478" s="272"/>
    </row>
    <row r="479" spans="1:8" s="371" customFormat="1" x14ac:dyDescent="0.25">
      <c r="A479" s="237" t="s">
        <v>93</v>
      </c>
      <c r="B479" s="156" t="s">
        <v>94</v>
      </c>
      <c r="C479" s="159" t="s">
        <v>72</v>
      </c>
      <c r="D479" s="158">
        <f>D459</f>
        <v>1</v>
      </c>
      <c r="E479" s="158"/>
      <c r="F479" s="185"/>
      <c r="G479" s="269"/>
      <c r="H479" s="272"/>
    </row>
    <row r="480" spans="1:8" s="371" customFormat="1" ht="20.399999999999999" x14ac:dyDescent="0.25">
      <c r="A480" s="237" t="s">
        <v>120</v>
      </c>
      <c r="B480" s="156" t="s">
        <v>122</v>
      </c>
      <c r="C480" s="159" t="s">
        <v>72</v>
      </c>
      <c r="D480" s="158">
        <f>D479</f>
        <v>1</v>
      </c>
      <c r="E480" s="158"/>
      <c r="F480" s="185"/>
      <c r="G480" s="269"/>
      <c r="H480" s="272"/>
    </row>
    <row r="481" spans="1:9" s="371" customFormat="1" x14ac:dyDescent="0.25">
      <c r="A481" s="237" t="s">
        <v>95</v>
      </c>
      <c r="B481" s="156" t="s">
        <v>124</v>
      </c>
      <c r="C481" s="159" t="s">
        <v>77</v>
      </c>
      <c r="D481" s="158">
        <f>(D463/100000)</f>
        <v>5.8199999999999997E-3</v>
      </c>
      <c r="E481" s="158"/>
      <c r="F481" s="185"/>
      <c r="G481" s="269"/>
      <c r="H481" s="272"/>
    </row>
    <row r="482" spans="1:9" s="371" customFormat="1" x14ac:dyDescent="0.25">
      <c r="A482" s="237" t="s">
        <v>413</v>
      </c>
      <c r="B482" s="156" t="s">
        <v>414</v>
      </c>
      <c r="C482" s="159" t="s">
        <v>75</v>
      </c>
      <c r="D482" s="158">
        <f>D472</f>
        <v>88.5</v>
      </c>
      <c r="E482" s="158"/>
      <c r="F482" s="185"/>
      <c r="G482" s="269"/>
      <c r="H482" s="272"/>
    </row>
    <row r="483" spans="1:9" s="371" customFormat="1" x14ac:dyDescent="0.25">
      <c r="A483" s="237" t="s">
        <v>98</v>
      </c>
      <c r="B483" s="156" t="s">
        <v>99</v>
      </c>
      <c r="C483" s="159" t="s">
        <v>76</v>
      </c>
      <c r="D483" s="158">
        <f>D439*0.02</f>
        <v>1.77</v>
      </c>
      <c r="E483" s="158"/>
      <c r="F483" s="185"/>
      <c r="G483" s="269"/>
      <c r="H483" s="272"/>
    </row>
    <row r="484" spans="1:9" s="371" customFormat="1" x14ac:dyDescent="0.25">
      <c r="A484" s="237" t="s">
        <v>375</v>
      </c>
      <c r="B484" s="156" t="s">
        <v>101</v>
      </c>
      <c r="C484" s="159" t="s">
        <v>77</v>
      </c>
      <c r="D484" s="158">
        <f>H484</f>
        <v>18.699186000000005</v>
      </c>
      <c r="E484" s="158"/>
      <c r="F484" s="185"/>
      <c r="G484" s="269"/>
      <c r="H484" s="273">
        <v>18.699186000000005</v>
      </c>
    </row>
    <row r="485" spans="1:9" s="371" customFormat="1" ht="13.8" thickBot="1" x14ac:dyDescent="0.3">
      <c r="A485" s="240"/>
      <c r="B485" s="200"/>
      <c r="C485" s="201"/>
      <c r="D485" s="202"/>
      <c r="E485" s="202"/>
      <c r="F485" s="203"/>
      <c r="G485" s="281"/>
      <c r="H485" s="296"/>
    </row>
    <row r="486" spans="1:9" s="371" customFormat="1" ht="13.8" thickBot="1" x14ac:dyDescent="0.3">
      <c r="A486" s="291"/>
      <c r="B486" s="206" t="s">
        <v>417</v>
      </c>
      <c r="C486" s="207" t="s">
        <v>75</v>
      </c>
      <c r="D486" s="400">
        <v>29.7</v>
      </c>
      <c r="E486" s="194"/>
      <c r="F486" s="195"/>
      <c r="G486" s="283"/>
      <c r="H486" s="295"/>
      <c r="I486" s="318">
        <f>SUM(F487:F545)</f>
        <v>0</v>
      </c>
    </row>
    <row r="487" spans="1:9" s="371" customFormat="1" x14ac:dyDescent="0.25">
      <c r="A487" s="241"/>
      <c r="B487" s="209" t="s">
        <v>115</v>
      </c>
      <c r="C487" s="205" t="s">
        <v>75</v>
      </c>
      <c r="D487" s="401">
        <f>D486</f>
        <v>29.7</v>
      </c>
      <c r="E487" s="189"/>
      <c r="F487" s="190"/>
      <c r="G487" s="282"/>
      <c r="H487" s="294"/>
    </row>
    <row r="488" spans="1:9" s="371" customFormat="1" x14ac:dyDescent="0.25">
      <c r="A488" s="237" t="s">
        <v>79</v>
      </c>
      <c r="B488" s="156" t="s">
        <v>151</v>
      </c>
      <c r="C488" s="159" t="s">
        <v>75</v>
      </c>
      <c r="D488" s="158">
        <f>D487</f>
        <v>29.7</v>
      </c>
      <c r="E488" s="158"/>
      <c r="F488" s="185"/>
      <c r="G488" s="269"/>
      <c r="H488" s="272"/>
    </row>
    <row r="489" spans="1:9" s="371" customFormat="1" x14ac:dyDescent="0.25">
      <c r="A489" s="237" t="s">
        <v>138</v>
      </c>
      <c r="B489" s="156" t="s">
        <v>300</v>
      </c>
      <c r="C489" s="159" t="s">
        <v>75</v>
      </c>
      <c r="D489" s="158">
        <f>(D487/3)*2*2</f>
        <v>39.6</v>
      </c>
      <c r="E489" s="158"/>
      <c r="F489" s="185"/>
      <c r="G489" s="269"/>
      <c r="H489" s="272"/>
    </row>
    <row r="490" spans="1:9" s="371" customFormat="1" x14ac:dyDescent="0.25">
      <c r="A490" s="237" t="s">
        <v>86</v>
      </c>
      <c r="B490" s="156" t="s">
        <v>119</v>
      </c>
      <c r="C490" s="159" t="s">
        <v>106</v>
      </c>
      <c r="D490" s="158">
        <f>(D489/100)*0.2</f>
        <v>7.9200000000000007E-2</v>
      </c>
      <c r="E490" s="158"/>
      <c r="F490" s="185"/>
      <c r="G490" s="269"/>
      <c r="H490" s="272"/>
    </row>
    <row r="491" spans="1:9" s="371" customFormat="1" x14ac:dyDescent="0.25">
      <c r="A491" s="237" t="s">
        <v>85</v>
      </c>
      <c r="B491" s="156" t="s">
        <v>116</v>
      </c>
      <c r="C491" s="159"/>
      <c r="D491" s="158"/>
      <c r="E491" s="158"/>
      <c r="F491" s="185"/>
      <c r="G491" s="269"/>
      <c r="H491" s="272"/>
    </row>
    <row r="492" spans="1:9" s="371" customFormat="1" x14ac:dyDescent="0.25">
      <c r="A492" s="237" t="s">
        <v>82</v>
      </c>
      <c r="B492" s="156" t="s">
        <v>320</v>
      </c>
      <c r="C492" s="159" t="s">
        <v>76</v>
      </c>
      <c r="D492" s="158">
        <f>D487/2*0.03</f>
        <v>0.44549999999999995</v>
      </c>
      <c r="E492" s="158"/>
      <c r="F492" s="185"/>
      <c r="G492" s="269">
        <v>0.8</v>
      </c>
      <c r="H492" s="272">
        <v>0.35639999999999999</v>
      </c>
    </row>
    <row r="493" spans="1:9" s="371" customFormat="1" x14ac:dyDescent="0.25">
      <c r="A493" s="237" t="s">
        <v>83</v>
      </c>
      <c r="B493" s="156" t="s">
        <v>84</v>
      </c>
      <c r="C493" s="159" t="s">
        <v>75</v>
      </c>
      <c r="D493" s="158">
        <f>D487*0.5</f>
        <v>14.85</v>
      </c>
      <c r="E493" s="158"/>
      <c r="F493" s="185"/>
      <c r="G493" s="269"/>
      <c r="H493" s="272"/>
    </row>
    <row r="494" spans="1:9" s="371" customFormat="1" x14ac:dyDescent="0.25">
      <c r="A494" s="237" t="s">
        <v>85</v>
      </c>
      <c r="B494" s="157" t="s">
        <v>134</v>
      </c>
      <c r="C494" s="159" t="s">
        <v>75</v>
      </c>
      <c r="D494" s="173">
        <f>D487</f>
        <v>29.7</v>
      </c>
      <c r="E494" s="158"/>
      <c r="F494" s="185"/>
      <c r="G494" s="269"/>
      <c r="H494" s="272"/>
    </row>
    <row r="495" spans="1:9" s="371" customFormat="1" ht="20.399999999999999" x14ac:dyDescent="0.25">
      <c r="A495" s="237" t="s">
        <v>118</v>
      </c>
      <c r="B495" s="156" t="s">
        <v>117</v>
      </c>
      <c r="C495" s="159" t="s">
        <v>75</v>
      </c>
      <c r="D495" s="158">
        <f>D494</f>
        <v>29.7</v>
      </c>
      <c r="E495" s="158"/>
      <c r="F495" s="185"/>
      <c r="G495" s="269"/>
      <c r="H495" s="272"/>
    </row>
    <row r="496" spans="1:9" s="371" customFormat="1" x14ac:dyDescent="0.25">
      <c r="A496" s="237"/>
      <c r="B496" s="157" t="s">
        <v>160</v>
      </c>
      <c r="C496" s="159"/>
      <c r="D496" s="158"/>
      <c r="E496" s="158"/>
      <c r="F496" s="185"/>
      <c r="G496" s="269"/>
      <c r="H496" s="272"/>
    </row>
    <row r="497" spans="1:8" s="371" customFormat="1" x14ac:dyDescent="0.25">
      <c r="A497" s="237" t="s">
        <v>86</v>
      </c>
      <c r="B497" s="231" t="s">
        <v>230</v>
      </c>
      <c r="C497" s="378" t="s">
        <v>72</v>
      </c>
      <c r="D497" s="404">
        <v>1</v>
      </c>
      <c r="E497" s="406"/>
      <c r="F497" s="185"/>
      <c r="G497" s="269">
        <v>3.0000000000000001E-3</v>
      </c>
      <c r="H497" s="272">
        <v>3.0000000000000001E-3</v>
      </c>
    </row>
    <row r="498" spans="1:8" s="371" customFormat="1" x14ac:dyDescent="0.25">
      <c r="A498" s="237"/>
      <c r="B498" s="156"/>
      <c r="C498" s="159"/>
      <c r="D498" s="173">
        <f>SUM(D497:D497)</f>
        <v>1</v>
      </c>
      <c r="E498" s="158"/>
      <c r="F498" s="185"/>
      <c r="G498" s="269"/>
      <c r="H498" s="272"/>
    </row>
    <row r="499" spans="1:8" s="371" customFormat="1" x14ac:dyDescent="0.25">
      <c r="A499" s="237"/>
      <c r="B499" s="157" t="s">
        <v>159</v>
      </c>
      <c r="C499" s="159"/>
      <c r="D499" s="158"/>
      <c r="E499" s="158"/>
      <c r="F499" s="185"/>
      <c r="G499" s="269"/>
      <c r="H499" s="272"/>
    </row>
    <row r="500" spans="1:8" s="371" customFormat="1" x14ac:dyDescent="0.25">
      <c r="A500" s="237" t="s">
        <v>86</v>
      </c>
      <c r="B500" s="231" t="s">
        <v>239</v>
      </c>
      <c r="C500" s="378" t="s">
        <v>72</v>
      </c>
      <c r="D500" s="404">
        <v>12</v>
      </c>
      <c r="E500" s="406"/>
      <c r="F500" s="185"/>
      <c r="G500" s="269">
        <v>5.0000000000000001E-4</v>
      </c>
      <c r="H500" s="272">
        <v>6.0000000000000001E-3</v>
      </c>
    </row>
    <row r="501" spans="1:8" s="371" customFormat="1" x14ac:dyDescent="0.25">
      <c r="A501" s="237" t="s">
        <v>86</v>
      </c>
      <c r="B501" s="231" t="s">
        <v>244</v>
      </c>
      <c r="C501" s="378" t="s">
        <v>72</v>
      </c>
      <c r="D501" s="404">
        <v>16</v>
      </c>
      <c r="E501" s="406"/>
      <c r="F501" s="185"/>
      <c r="G501" s="269">
        <v>5.0000000000000001E-4</v>
      </c>
      <c r="H501" s="272">
        <v>8.0000000000000002E-3</v>
      </c>
    </row>
    <row r="502" spans="1:8" s="371" customFormat="1" x14ac:dyDescent="0.25">
      <c r="A502" s="237" t="s">
        <v>86</v>
      </c>
      <c r="B502" s="231" t="s">
        <v>210</v>
      </c>
      <c r="C502" s="378" t="s">
        <v>72</v>
      </c>
      <c r="D502" s="404">
        <v>12</v>
      </c>
      <c r="E502" s="406"/>
      <c r="F502" s="185"/>
      <c r="G502" s="269">
        <v>5.0000000000000001E-4</v>
      </c>
      <c r="H502" s="272">
        <v>6.0000000000000001E-3</v>
      </c>
    </row>
    <row r="503" spans="1:8" s="371" customFormat="1" x14ac:dyDescent="0.25">
      <c r="A503" s="237" t="s">
        <v>86</v>
      </c>
      <c r="B503" s="231" t="s">
        <v>252</v>
      </c>
      <c r="C503" s="378" t="s">
        <v>72</v>
      </c>
      <c r="D503" s="404">
        <v>18</v>
      </c>
      <c r="E503" s="406"/>
      <c r="F503" s="185"/>
      <c r="G503" s="269">
        <v>5.0000000000000001E-4</v>
      </c>
      <c r="H503" s="272">
        <v>9.0000000000000011E-3</v>
      </c>
    </row>
    <row r="504" spans="1:8" s="371" customFormat="1" x14ac:dyDescent="0.25">
      <c r="A504" s="237" t="s">
        <v>86</v>
      </c>
      <c r="B504" s="231" t="s">
        <v>253</v>
      </c>
      <c r="C504" s="378" t="s">
        <v>72</v>
      </c>
      <c r="D504" s="404">
        <v>18</v>
      </c>
      <c r="E504" s="406"/>
      <c r="F504" s="185"/>
      <c r="G504" s="269">
        <v>5.0000000000000001E-4</v>
      </c>
      <c r="H504" s="272">
        <v>9.0000000000000011E-3</v>
      </c>
    </row>
    <row r="505" spans="1:8" s="371" customFormat="1" x14ac:dyDescent="0.25">
      <c r="A505" s="237" t="s">
        <v>86</v>
      </c>
      <c r="B505" s="231" t="s">
        <v>255</v>
      </c>
      <c r="C505" s="378" t="s">
        <v>72</v>
      </c>
      <c r="D505" s="404">
        <v>17</v>
      </c>
      <c r="E505" s="406"/>
      <c r="F505" s="185"/>
      <c r="G505" s="269">
        <v>5.0000000000000001E-4</v>
      </c>
      <c r="H505" s="272">
        <v>8.5000000000000006E-3</v>
      </c>
    </row>
    <row r="506" spans="1:8" s="371" customFormat="1" x14ac:dyDescent="0.25">
      <c r="A506" s="237" t="s">
        <v>86</v>
      </c>
      <c r="B506" s="231" t="s">
        <v>257</v>
      </c>
      <c r="C506" s="378" t="s">
        <v>72</v>
      </c>
      <c r="D506" s="404">
        <v>18</v>
      </c>
      <c r="E506" s="406"/>
      <c r="F506" s="185"/>
      <c r="G506" s="269">
        <v>5.0000000000000001E-4</v>
      </c>
      <c r="H506" s="272">
        <v>9.0000000000000011E-3</v>
      </c>
    </row>
    <row r="507" spans="1:8" s="371" customFormat="1" x14ac:dyDescent="0.25">
      <c r="A507" s="237" t="s">
        <v>86</v>
      </c>
      <c r="B507" s="231" t="s">
        <v>259</v>
      </c>
      <c r="C507" s="378" t="s">
        <v>72</v>
      </c>
      <c r="D507" s="404">
        <v>14</v>
      </c>
      <c r="E507" s="406"/>
      <c r="F507" s="185"/>
      <c r="G507" s="269">
        <v>5.0000000000000001E-4</v>
      </c>
      <c r="H507" s="272">
        <v>7.0000000000000001E-3</v>
      </c>
    </row>
    <row r="508" spans="1:8" s="371" customFormat="1" x14ac:dyDescent="0.25">
      <c r="A508" s="237" t="s">
        <v>86</v>
      </c>
      <c r="B508" s="231" t="s">
        <v>265</v>
      </c>
      <c r="C508" s="378" t="s">
        <v>72</v>
      </c>
      <c r="D508" s="404">
        <v>18</v>
      </c>
      <c r="E508" s="406"/>
      <c r="F508" s="185"/>
      <c r="G508" s="269">
        <v>5.0000000000000001E-4</v>
      </c>
      <c r="H508" s="272">
        <v>9.0000000000000011E-3</v>
      </c>
    </row>
    <row r="509" spans="1:8" s="371" customFormat="1" x14ac:dyDescent="0.25">
      <c r="A509" s="237" t="s">
        <v>86</v>
      </c>
      <c r="B509" s="231" t="s">
        <v>266</v>
      </c>
      <c r="C509" s="378" t="s">
        <v>72</v>
      </c>
      <c r="D509" s="404">
        <v>21</v>
      </c>
      <c r="E509" s="406"/>
      <c r="F509" s="185"/>
      <c r="G509" s="269">
        <v>5.0000000000000001E-4</v>
      </c>
      <c r="H509" s="272">
        <v>1.0500000000000001E-2</v>
      </c>
    </row>
    <row r="510" spans="1:8" s="371" customFormat="1" x14ac:dyDescent="0.25">
      <c r="A510" s="237" t="s">
        <v>86</v>
      </c>
      <c r="B510" s="231" t="s">
        <v>267</v>
      </c>
      <c r="C510" s="378" t="s">
        <v>72</v>
      </c>
      <c r="D510" s="404">
        <v>11</v>
      </c>
      <c r="E510" s="406"/>
      <c r="F510" s="185"/>
      <c r="G510" s="269">
        <v>5.0000000000000001E-4</v>
      </c>
      <c r="H510" s="272">
        <v>5.4999999999999997E-3</v>
      </c>
    </row>
    <row r="511" spans="1:8" s="371" customFormat="1" x14ac:dyDescent="0.25">
      <c r="A511" s="237" t="s">
        <v>86</v>
      </c>
      <c r="B511" s="231" t="s">
        <v>270</v>
      </c>
      <c r="C511" s="378" t="s">
        <v>72</v>
      </c>
      <c r="D511" s="404">
        <v>14</v>
      </c>
      <c r="E511" s="406"/>
      <c r="F511" s="185"/>
      <c r="G511" s="269">
        <v>5.0000000000000001E-4</v>
      </c>
      <c r="H511" s="272">
        <v>7.0000000000000001E-3</v>
      </c>
    </row>
    <row r="512" spans="1:8" s="371" customFormat="1" x14ac:dyDescent="0.25">
      <c r="A512" s="237" t="s">
        <v>86</v>
      </c>
      <c r="B512" s="231" t="s">
        <v>271</v>
      </c>
      <c r="C512" s="378" t="s">
        <v>72</v>
      </c>
      <c r="D512" s="404">
        <v>10</v>
      </c>
      <c r="E512" s="406"/>
      <c r="F512" s="185"/>
      <c r="G512" s="269">
        <v>5.0000000000000001E-4</v>
      </c>
      <c r="H512" s="272">
        <v>5.0000000000000001E-3</v>
      </c>
    </row>
    <row r="513" spans="1:8" s="371" customFormat="1" x14ac:dyDescent="0.25">
      <c r="A513" s="237" t="s">
        <v>86</v>
      </c>
      <c r="B513" s="160" t="s">
        <v>422</v>
      </c>
      <c r="C513" s="378" t="s">
        <v>72</v>
      </c>
      <c r="D513" s="168">
        <v>19</v>
      </c>
      <c r="E513" s="406"/>
      <c r="F513" s="185"/>
      <c r="G513" s="269">
        <v>5.0000000000000001E-4</v>
      </c>
      <c r="H513" s="272">
        <v>9.4999999999999998E-3</v>
      </c>
    </row>
    <row r="514" spans="1:8" s="371" customFormat="1" x14ac:dyDescent="0.25">
      <c r="A514" s="237" t="s">
        <v>86</v>
      </c>
      <c r="B514" s="231" t="s">
        <v>274</v>
      </c>
      <c r="C514" s="378" t="s">
        <v>72</v>
      </c>
      <c r="D514" s="404">
        <v>6</v>
      </c>
      <c r="E514" s="406"/>
      <c r="F514" s="185"/>
      <c r="G514" s="269">
        <v>5.0000000000000001E-4</v>
      </c>
      <c r="H514" s="272">
        <v>3.0000000000000001E-3</v>
      </c>
    </row>
    <row r="515" spans="1:8" s="371" customFormat="1" x14ac:dyDescent="0.25">
      <c r="A515" s="237"/>
      <c r="B515" s="231"/>
      <c r="C515" s="378" t="s">
        <v>72</v>
      </c>
      <c r="D515" s="405">
        <f>SUM(D500:D514)</f>
        <v>224</v>
      </c>
      <c r="E515" s="406"/>
      <c r="F515" s="185"/>
      <c r="G515" s="269"/>
      <c r="H515" s="272"/>
    </row>
    <row r="516" spans="1:8" s="371" customFormat="1" x14ac:dyDescent="0.25">
      <c r="A516" s="237"/>
      <c r="B516" s="157" t="s">
        <v>318</v>
      </c>
      <c r="C516" s="159"/>
      <c r="D516" s="404"/>
      <c r="E516" s="158"/>
      <c r="F516" s="185"/>
      <c r="G516" s="269"/>
      <c r="H516" s="272"/>
    </row>
    <row r="517" spans="1:8" s="371" customFormat="1" x14ac:dyDescent="0.25">
      <c r="A517" s="237" t="s">
        <v>86</v>
      </c>
      <c r="B517" s="231" t="s">
        <v>279</v>
      </c>
      <c r="C517" s="378" t="s">
        <v>72</v>
      </c>
      <c r="D517" s="404">
        <v>930</v>
      </c>
      <c r="E517" s="406"/>
      <c r="F517" s="185"/>
      <c r="G517" s="269"/>
      <c r="H517" s="272"/>
    </row>
    <row r="518" spans="1:8" s="371" customFormat="1" x14ac:dyDescent="0.25">
      <c r="A518" s="237" t="s">
        <v>86</v>
      </c>
      <c r="B518" s="231" t="s">
        <v>284</v>
      </c>
      <c r="C518" s="378" t="s">
        <v>72</v>
      </c>
      <c r="D518" s="404">
        <v>90</v>
      </c>
      <c r="E518" s="406"/>
      <c r="F518" s="185"/>
      <c r="G518" s="269"/>
      <c r="H518" s="272"/>
    </row>
    <row r="519" spans="1:8" s="371" customFormat="1" x14ac:dyDescent="0.25">
      <c r="A519" s="237" t="s">
        <v>86</v>
      </c>
      <c r="B519" s="231" t="s">
        <v>286</v>
      </c>
      <c r="C519" s="378" t="s">
        <v>72</v>
      </c>
      <c r="D519" s="404">
        <v>90</v>
      </c>
      <c r="E519" s="406"/>
      <c r="F519" s="185"/>
      <c r="G519" s="269"/>
      <c r="H519" s="272"/>
    </row>
    <row r="520" spans="1:8" s="371" customFormat="1" x14ac:dyDescent="0.25">
      <c r="A520" s="237" t="s">
        <v>86</v>
      </c>
      <c r="B520" s="231" t="s">
        <v>288</v>
      </c>
      <c r="C520" s="378" t="s">
        <v>72</v>
      </c>
      <c r="D520" s="404">
        <v>90</v>
      </c>
      <c r="E520" s="406"/>
      <c r="F520" s="185"/>
      <c r="G520" s="269"/>
      <c r="H520" s="272"/>
    </row>
    <row r="521" spans="1:8" s="371" customFormat="1" x14ac:dyDescent="0.25">
      <c r="A521" s="237" t="s">
        <v>86</v>
      </c>
      <c r="B521" s="231" t="s">
        <v>290</v>
      </c>
      <c r="C521" s="378" t="s">
        <v>72</v>
      </c>
      <c r="D521" s="404">
        <v>90</v>
      </c>
      <c r="E521" s="406"/>
      <c r="F521" s="185"/>
      <c r="G521" s="269"/>
      <c r="H521" s="272"/>
    </row>
    <row r="522" spans="1:8" s="371" customFormat="1" x14ac:dyDescent="0.25">
      <c r="A522" s="237" t="s">
        <v>86</v>
      </c>
      <c r="B522" s="231" t="s">
        <v>291</v>
      </c>
      <c r="C522" s="378" t="s">
        <v>72</v>
      </c>
      <c r="D522" s="404">
        <v>90</v>
      </c>
      <c r="E522" s="406"/>
      <c r="F522" s="185"/>
      <c r="G522" s="269"/>
      <c r="H522" s="272"/>
    </row>
    <row r="523" spans="1:8" s="371" customFormat="1" x14ac:dyDescent="0.25">
      <c r="A523" s="237"/>
      <c r="B523" s="156"/>
      <c r="C523" s="159" t="s">
        <v>72</v>
      </c>
      <c r="D523" s="405">
        <f>SUM(D517:D522)</f>
        <v>1380</v>
      </c>
      <c r="E523" s="158"/>
      <c r="F523" s="185"/>
      <c r="G523" s="269"/>
      <c r="H523" s="272"/>
    </row>
    <row r="524" spans="1:8" s="371" customFormat="1" x14ac:dyDescent="0.25">
      <c r="A524" s="237" t="s">
        <v>86</v>
      </c>
      <c r="B524" s="156" t="s">
        <v>103</v>
      </c>
      <c r="C524" s="159" t="s">
        <v>76</v>
      </c>
      <c r="D524" s="158">
        <f>((0.15/100*30*D486)*1.05)</f>
        <v>1.4033250000000002</v>
      </c>
      <c r="E524" s="158"/>
      <c r="F524" s="185"/>
      <c r="G524" s="269">
        <v>1.5</v>
      </c>
      <c r="H524" s="272">
        <v>2.1049875</v>
      </c>
    </row>
    <row r="525" spans="1:8" s="371" customFormat="1" x14ac:dyDescent="0.25">
      <c r="A525" s="237" t="s">
        <v>86</v>
      </c>
      <c r="B525" s="156" t="s">
        <v>142</v>
      </c>
      <c r="C525" s="159" t="s">
        <v>76</v>
      </c>
      <c r="D525" s="158">
        <f>((0.15/100*30*D486)*1.05)</f>
        <v>1.4033250000000002</v>
      </c>
      <c r="E525" s="158"/>
      <c r="F525" s="185"/>
      <c r="G525" s="269">
        <v>1</v>
      </c>
      <c r="H525" s="272">
        <v>1.4033250000000002</v>
      </c>
    </row>
    <row r="526" spans="1:8" s="371" customFormat="1" x14ac:dyDescent="0.25">
      <c r="A526" s="237" t="s">
        <v>86</v>
      </c>
      <c r="B526" s="156" t="s">
        <v>143</v>
      </c>
      <c r="C526" s="159" t="s">
        <v>76</v>
      </c>
      <c r="D526" s="158">
        <f>((0.05*D486)*1.05)</f>
        <v>1.5592500000000002</v>
      </c>
      <c r="E526" s="158"/>
      <c r="F526" s="185"/>
      <c r="G526" s="269">
        <v>0.7</v>
      </c>
      <c r="H526" s="272">
        <v>1.0914750000000002</v>
      </c>
    </row>
    <row r="527" spans="1:8" s="371" customFormat="1" x14ac:dyDescent="0.25">
      <c r="A527" s="237" t="s">
        <v>86</v>
      </c>
      <c r="B527" s="156" t="s">
        <v>356</v>
      </c>
      <c r="C527" s="159" t="s">
        <v>72</v>
      </c>
      <c r="D527" s="158">
        <f>(D498*3)+D515</f>
        <v>227</v>
      </c>
      <c r="E527" s="158"/>
      <c r="F527" s="185"/>
      <c r="G527" s="269"/>
      <c r="H527" s="272"/>
    </row>
    <row r="528" spans="1:8" s="371" customFormat="1" x14ac:dyDescent="0.25">
      <c r="A528" s="237" t="s">
        <v>86</v>
      </c>
      <c r="B528" s="156" t="s">
        <v>408</v>
      </c>
      <c r="C528" s="159" t="s">
        <v>105</v>
      </c>
      <c r="D528" s="158">
        <v>2</v>
      </c>
      <c r="E528" s="158"/>
      <c r="F528" s="185"/>
      <c r="G528" s="269"/>
      <c r="H528" s="272"/>
    </row>
    <row r="529" spans="1:8" s="371" customFormat="1" x14ac:dyDescent="0.25">
      <c r="A529" s="237" t="s">
        <v>86</v>
      </c>
      <c r="B529" s="156" t="s">
        <v>146</v>
      </c>
      <c r="C529" s="159" t="s">
        <v>72</v>
      </c>
      <c r="D529" s="158">
        <v>3</v>
      </c>
      <c r="E529" s="158"/>
      <c r="F529" s="185"/>
      <c r="G529" s="269">
        <v>5.3399999999999997E-4</v>
      </c>
      <c r="H529" s="272">
        <v>1.6019999999999999E-3</v>
      </c>
    </row>
    <row r="530" spans="1:8" s="371" customFormat="1" x14ac:dyDescent="0.25">
      <c r="A530" s="237" t="s">
        <v>79</v>
      </c>
      <c r="B530" s="156" t="s">
        <v>145</v>
      </c>
      <c r="C530" s="159" t="s">
        <v>75</v>
      </c>
      <c r="D530" s="158">
        <f>D486</f>
        <v>29.7</v>
      </c>
      <c r="E530" s="158"/>
      <c r="F530" s="185"/>
      <c r="G530" s="269"/>
      <c r="H530" s="272"/>
    </row>
    <row r="531" spans="1:8" s="371" customFormat="1" x14ac:dyDescent="0.25">
      <c r="A531" s="237" t="s">
        <v>85</v>
      </c>
      <c r="B531" s="156" t="s">
        <v>131</v>
      </c>
      <c r="C531" s="159" t="s">
        <v>76</v>
      </c>
      <c r="D531" s="158">
        <f>D525+D524</f>
        <v>2.8066500000000003</v>
      </c>
      <c r="E531" s="158"/>
      <c r="F531" s="185"/>
      <c r="G531" s="269"/>
      <c r="H531" s="272"/>
    </row>
    <row r="532" spans="1:8" s="371" customFormat="1" x14ac:dyDescent="0.25">
      <c r="A532" s="237" t="s">
        <v>87</v>
      </c>
      <c r="B532" s="156" t="s">
        <v>88</v>
      </c>
      <c r="C532" s="159" t="s">
        <v>76</v>
      </c>
      <c r="D532" s="158">
        <f>D531</f>
        <v>2.8066500000000003</v>
      </c>
      <c r="E532" s="158"/>
      <c r="F532" s="185"/>
      <c r="G532" s="269"/>
      <c r="H532" s="272"/>
    </row>
    <row r="533" spans="1:8" s="371" customFormat="1" x14ac:dyDescent="0.25">
      <c r="A533" s="237" t="s">
        <v>89</v>
      </c>
      <c r="B533" s="156" t="s">
        <v>90</v>
      </c>
      <c r="C533" s="159" t="s">
        <v>76</v>
      </c>
      <c r="D533" s="158">
        <f>D531</f>
        <v>2.8066500000000003</v>
      </c>
      <c r="E533" s="158"/>
      <c r="F533" s="185"/>
      <c r="G533" s="269"/>
      <c r="H533" s="272"/>
    </row>
    <row r="534" spans="1:8" s="371" customFormat="1" x14ac:dyDescent="0.25">
      <c r="A534" s="237" t="s">
        <v>139</v>
      </c>
      <c r="B534" s="156" t="s">
        <v>198</v>
      </c>
      <c r="C534" s="159" t="s">
        <v>75</v>
      </c>
      <c r="D534" s="158">
        <f>D530</f>
        <v>29.7</v>
      </c>
      <c r="E534" s="158"/>
      <c r="F534" s="185"/>
      <c r="G534" s="269"/>
      <c r="H534" s="272"/>
    </row>
    <row r="535" spans="1:8" s="371" customFormat="1" x14ac:dyDescent="0.25">
      <c r="A535" s="237" t="s">
        <v>91</v>
      </c>
      <c r="B535" s="156" t="s">
        <v>125</v>
      </c>
      <c r="C535" s="159" t="s">
        <v>75</v>
      </c>
      <c r="D535" s="158">
        <f>D530*2</f>
        <v>59.4</v>
      </c>
      <c r="E535" s="158"/>
      <c r="F535" s="185"/>
      <c r="G535" s="269"/>
      <c r="H535" s="272"/>
    </row>
    <row r="536" spans="1:8" s="371" customFormat="1" x14ac:dyDescent="0.25">
      <c r="A536" s="237" t="s">
        <v>92</v>
      </c>
      <c r="B536" s="156" t="s">
        <v>294</v>
      </c>
      <c r="C536" s="159" t="s">
        <v>75</v>
      </c>
      <c r="D536" s="158">
        <f>D530*2</f>
        <v>59.4</v>
      </c>
      <c r="E536" s="158"/>
      <c r="F536" s="185"/>
      <c r="G536" s="269"/>
      <c r="H536" s="272"/>
    </row>
    <row r="537" spans="1:8" s="371" customFormat="1" x14ac:dyDescent="0.25">
      <c r="A537" s="237" t="s">
        <v>201</v>
      </c>
      <c r="B537" s="156" t="s">
        <v>140</v>
      </c>
      <c r="C537" s="159" t="s">
        <v>72</v>
      </c>
      <c r="D537" s="158">
        <f>D515</f>
        <v>224</v>
      </c>
      <c r="E537" s="158"/>
      <c r="F537" s="185"/>
      <c r="G537" s="269"/>
      <c r="H537" s="272"/>
    </row>
    <row r="538" spans="1:8" s="371" customFormat="1" ht="20.399999999999999" x14ac:dyDescent="0.25">
      <c r="A538" s="237" t="s">
        <v>199</v>
      </c>
      <c r="B538" s="156" t="s">
        <v>200</v>
      </c>
      <c r="C538" s="159" t="s">
        <v>72</v>
      </c>
      <c r="D538" s="158">
        <f>D537</f>
        <v>224</v>
      </c>
      <c r="E538" s="158"/>
      <c r="F538" s="185"/>
      <c r="G538" s="269"/>
      <c r="H538" s="272"/>
    </row>
    <row r="539" spans="1:8" s="371" customFormat="1" x14ac:dyDescent="0.25">
      <c r="A539" s="237" t="s">
        <v>201</v>
      </c>
      <c r="B539" s="156" t="s">
        <v>140</v>
      </c>
      <c r="C539" s="159" t="s">
        <v>72</v>
      </c>
      <c r="D539" s="158">
        <f>D486</f>
        <v>29.7</v>
      </c>
      <c r="E539" s="158"/>
      <c r="F539" s="185"/>
      <c r="G539" s="269"/>
      <c r="H539" s="272"/>
    </row>
    <row r="540" spans="1:8" s="371" customFormat="1" x14ac:dyDescent="0.25">
      <c r="A540" s="237" t="s">
        <v>295</v>
      </c>
      <c r="B540" s="156" t="s">
        <v>296</v>
      </c>
      <c r="C540" s="159" t="s">
        <v>72</v>
      </c>
      <c r="D540" s="158">
        <f>D539</f>
        <v>29.7</v>
      </c>
      <c r="E540" s="158"/>
      <c r="F540" s="185"/>
      <c r="G540" s="269"/>
      <c r="H540" s="272"/>
    </row>
    <row r="541" spans="1:8" s="371" customFormat="1" x14ac:dyDescent="0.25">
      <c r="A541" s="237" t="s">
        <v>95</v>
      </c>
      <c r="B541" s="156" t="s">
        <v>124</v>
      </c>
      <c r="C541" s="159" t="s">
        <v>77</v>
      </c>
      <c r="D541" s="158">
        <f>(D527/100000)</f>
        <v>2.2699999999999999E-3</v>
      </c>
      <c r="E541" s="158"/>
      <c r="F541" s="185"/>
      <c r="G541" s="269"/>
      <c r="H541" s="272"/>
    </row>
    <row r="542" spans="1:8" s="371" customFormat="1" x14ac:dyDescent="0.25">
      <c r="A542" s="237" t="s">
        <v>121</v>
      </c>
      <c r="B542" s="156" t="s">
        <v>147</v>
      </c>
      <c r="C542" s="159" t="s">
        <v>75</v>
      </c>
      <c r="D542" s="158">
        <f>D534</f>
        <v>29.7</v>
      </c>
      <c r="E542" s="158"/>
      <c r="F542" s="185"/>
      <c r="G542" s="269"/>
      <c r="H542" s="272"/>
    </row>
    <row r="543" spans="1:8" s="371" customFormat="1" x14ac:dyDescent="0.25">
      <c r="A543" s="237" t="s">
        <v>79</v>
      </c>
      <c r="B543" s="156" t="s">
        <v>409</v>
      </c>
      <c r="C543" s="159" t="s">
        <v>105</v>
      </c>
      <c r="D543" s="158">
        <f>D528</f>
        <v>2</v>
      </c>
      <c r="E543" s="158"/>
      <c r="F543" s="185"/>
      <c r="G543" s="269"/>
      <c r="H543" s="272"/>
    </row>
    <row r="544" spans="1:8" s="371" customFormat="1" x14ac:dyDescent="0.25">
      <c r="A544" s="237" t="s">
        <v>98</v>
      </c>
      <c r="B544" s="156" t="s">
        <v>99</v>
      </c>
      <c r="C544" s="159" t="s">
        <v>76</v>
      </c>
      <c r="D544" s="158">
        <f>D486*0.02</f>
        <v>0.59399999999999997</v>
      </c>
      <c r="E544" s="158"/>
      <c r="F544" s="185"/>
      <c r="G544" s="269"/>
      <c r="H544" s="272"/>
    </row>
    <row r="545" spans="1:9" s="371" customFormat="1" ht="13.8" thickBot="1" x14ac:dyDescent="0.3">
      <c r="A545" s="237" t="s">
        <v>375</v>
      </c>
      <c r="B545" s="156" t="s">
        <v>101</v>
      </c>
      <c r="C545" s="159" t="s">
        <v>77</v>
      </c>
      <c r="D545" s="158">
        <f>H545</f>
        <v>5.0727895000000007</v>
      </c>
      <c r="E545" s="158"/>
      <c r="F545" s="185"/>
      <c r="G545" s="269"/>
      <c r="H545" s="273">
        <v>5.0727895000000007</v>
      </c>
    </row>
    <row r="546" spans="1:9" s="371" customFormat="1" ht="13.8" thickBot="1" x14ac:dyDescent="0.3">
      <c r="A546" s="291"/>
      <c r="B546" s="206" t="s">
        <v>418</v>
      </c>
      <c r="C546" s="207" t="s">
        <v>75</v>
      </c>
      <c r="D546" s="400">
        <v>47.7</v>
      </c>
      <c r="E546" s="194"/>
      <c r="F546" s="195"/>
      <c r="G546" s="283"/>
      <c r="H546" s="295"/>
      <c r="I546" s="318">
        <f>SUM(F547:F602)</f>
        <v>0</v>
      </c>
    </row>
    <row r="547" spans="1:9" s="371" customFormat="1" x14ac:dyDescent="0.25">
      <c r="A547" s="241"/>
      <c r="B547" s="209" t="s">
        <v>115</v>
      </c>
      <c r="C547" s="205" t="s">
        <v>75</v>
      </c>
      <c r="D547" s="401">
        <f>D546</f>
        <v>47.7</v>
      </c>
      <c r="E547" s="189"/>
      <c r="F547" s="190"/>
      <c r="G547" s="282"/>
      <c r="H547" s="294"/>
    </row>
    <row r="548" spans="1:9" s="371" customFormat="1" x14ac:dyDescent="0.25">
      <c r="A548" s="237" t="s">
        <v>79</v>
      </c>
      <c r="B548" s="156" t="s">
        <v>151</v>
      </c>
      <c r="C548" s="159" t="s">
        <v>75</v>
      </c>
      <c r="D548" s="158">
        <f>D547</f>
        <v>47.7</v>
      </c>
      <c r="E548" s="158"/>
      <c r="F548" s="185"/>
      <c r="G548" s="269"/>
      <c r="H548" s="272"/>
    </row>
    <row r="549" spans="1:9" s="371" customFormat="1" x14ac:dyDescent="0.25">
      <c r="A549" s="237" t="s">
        <v>138</v>
      </c>
      <c r="B549" s="156" t="s">
        <v>300</v>
      </c>
      <c r="C549" s="159" t="s">
        <v>75</v>
      </c>
      <c r="D549" s="158">
        <f>(D547/3)*2*2</f>
        <v>63.6</v>
      </c>
      <c r="E549" s="158"/>
      <c r="F549" s="185"/>
      <c r="G549" s="269"/>
      <c r="H549" s="272"/>
    </row>
    <row r="550" spans="1:9" s="371" customFormat="1" x14ac:dyDescent="0.25">
      <c r="A550" s="237" t="s">
        <v>86</v>
      </c>
      <c r="B550" s="156" t="s">
        <v>119</v>
      </c>
      <c r="C550" s="159" t="s">
        <v>106</v>
      </c>
      <c r="D550" s="158">
        <f>(D549/100)*0.2</f>
        <v>0.12720000000000001</v>
      </c>
      <c r="E550" s="158"/>
      <c r="F550" s="185"/>
      <c r="G550" s="269"/>
      <c r="H550" s="272"/>
    </row>
    <row r="551" spans="1:9" s="371" customFormat="1" x14ac:dyDescent="0.25">
      <c r="A551" s="237" t="s">
        <v>85</v>
      </c>
      <c r="B551" s="156" t="s">
        <v>116</v>
      </c>
      <c r="C551" s="159"/>
      <c r="D551" s="158"/>
      <c r="E551" s="158"/>
      <c r="F551" s="185"/>
      <c r="G551" s="269"/>
      <c r="H551" s="272"/>
    </row>
    <row r="552" spans="1:9" s="371" customFormat="1" x14ac:dyDescent="0.25">
      <c r="A552" s="237" t="s">
        <v>82</v>
      </c>
      <c r="B552" s="156" t="s">
        <v>320</v>
      </c>
      <c r="C552" s="159" t="s">
        <v>76</v>
      </c>
      <c r="D552" s="158">
        <f>D547/2*0.03</f>
        <v>0.71550000000000002</v>
      </c>
      <c r="E552" s="158"/>
      <c r="F552" s="185"/>
      <c r="G552" s="269">
        <v>0.8</v>
      </c>
      <c r="H552" s="272">
        <v>0.57240000000000002</v>
      </c>
    </row>
    <row r="553" spans="1:9" s="371" customFormat="1" x14ac:dyDescent="0.25">
      <c r="A553" s="237" t="s">
        <v>83</v>
      </c>
      <c r="B553" s="156" t="s">
        <v>84</v>
      </c>
      <c r="C553" s="159" t="s">
        <v>75</v>
      </c>
      <c r="D553" s="158">
        <f>D547*0.5</f>
        <v>23.85</v>
      </c>
      <c r="E553" s="158"/>
      <c r="F553" s="185"/>
      <c r="G553" s="269"/>
      <c r="H553" s="272"/>
    </row>
    <row r="554" spans="1:9" s="371" customFormat="1" x14ac:dyDescent="0.25">
      <c r="A554" s="237" t="s">
        <v>85</v>
      </c>
      <c r="B554" s="157" t="s">
        <v>134</v>
      </c>
      <c r="C554" s="159" t="s">
        <v>75</v>
      </c>
      <c r="D554" s="173">
        <f>D547</f>
        <v>47.7</v>
      </c>
      <c r="E554" s="158"/>
      <c r="F554" s="185"/>
      <c r="G554" s="269"/>
      <c r="H554" s="272"/>
    </row>
    <row r="555" spans="1:9" s="371" customFormat="1" ht="20.399999999999999" x14ac:dyDescent="0.25">
      <c r="A555" s="237" t="s">
        <v>118</v>
      </c>
      <c r="B555" s="156" t="s">
        <v>117</v>
      </c>
      <c r="C555" s="159" t="s">
        <v>75</v>
      </c>
      <c r="D555" s="158">
        <f>D554</f>
        <v>47.7</v>
      </c>
      <c r="E555" s="158"/>
      <c r="F555" s="185"/>
      <c r="G555" s="269"/>
      <c r="H555" s="272"/>
    </row>
    <row r="556" spans="1:9" s="371" customFormat="1" x14ac:dyDescent="0.25">
      <c r="A556" s="237"/>
      <c r="B556" s="157" t="s">
        <v>160</v>
      </c>
      <c r="C556" s="159"/>
      <c r="D556" s="158"/>
      <c r="E556" s="158"/>
      <c r="F556" s="185"/>
      <c r="G556" s="269"/>
      <c r="H556" s="272"/>
    </row>
    <row r="557" spans="1:9" s="371" customFormat="1" x14ac:dyDescent="0.25">
      <c r="A557" s="237" t="s">
        <v>86</v>
      </c>
      <c r="B557" s="231" t="s">
        <v>229</v>
      </c>
      <c r="C557" s="378" t="s">
        <v>72</v>
      </c>
      <c r="D557" s="404">
        <v>1</v>
      </c>
      <c r="E557" s="406"/>
      <c r="F557" s="185"/>
      <c r="G557" s="269">
        <v>3.0000000000000001E-3</v>
      </c>
      <c r="H557" s="272">
        <v>3.0000000000000001E-3</v>
      </c>
    </row>
    <row r="558" spans="1:9" s="371" customFormat="1" x14ac:dyDescent="0.25">
      <c r="A558" s="237"/>
      <c r="B558" s="156"/>
      <c r="C558" s="159"/>
      <c r="D558" s="173">
        <f>SUM(D557:D557)</f>
        <v>1</v>
      </c>
      <c r="E558" s="158"/>
      <c r="F558" s="185"/>
      <c r="G558" s="269"/>
      <c r="H558" s="272"/>
    </row>
    <row r="559" spans="1:9" s="371" customFormat="1" x14ac:dyDescent="0.25">
      <c r="A559" s="237"/>
      <c r="B559" s="157" t="s">
        <v>159</v>
      </c>
      <c r="C559" s="159"/>
      <c r="D559" s="158"/>
      <c r="E559" s="158"/>
      <c r="F559" s="185"/>
      <c r="G559" s="269"/>
      <c r="H559" s="272"/>
    </row>
    <row r="560" spans="1:9" s="371" customFormat="1" x14ac:dyDescent="0.25">
      <c r="A560" s="237" t="s">
        <v>86</v>
      </c>
      <c r="B560" s="231" t="s">
        <v>239</v>
      </c>
      <c r="C560" s="378" t="s">
        <v>72</v>
      </c>
      <c r="D560" s="404">
        <v>32</v>
      </c>
      <c r="E560" s="406"/>
      <c r="F560" s="185"/>
      <c r="G560" s="269">
        <v>5.0000000000000001E-4</v>
      </c>
      <c r="H560" s="272">
        <v>1.6E-2</v>
      </c>
    </row>
    <row r="561" spans="1:8" s="371" customFormat="1" x14ac:dyDescent="0.25">
      <c r="A561" s="237" t="s">
        <v>86</v>
      </c>
      <c r="B561" s="231" t="s">
        <v>244</v>
      </c>
      <c r="C561" s="378" t="s">
        <v>72</v>
      </c>
      <c r="D561" s="404">
        <v>32</v>
      </c>
      <c r="E561" s="406"/>
      <c r="F561" s="185"/>
      <c r="G561" s="269">
        <v>5.0000000000000001E-4</v>
      </c>
      <c r="H561" s="272">
        <v>1.6E-2</v>
      </c>
    </row>
    <row r="562" spans="1:8" s="371" customFormat="1" x14ac:dyDescent="0.25">
      <c r="A562" s="237" t="s">
        <v>86</v>
      </c>
      <c r="B562" s="231" t="s">
        <v>210</v>
      </c>
      <c r="C562" s="378" t="s">
        <v>72</v>
      </c>
      <c r="D562" s="404">
        <v>21</v>
      </c>
      <c r="E562" s="406"/>
      <c r="F562" s="185"/>
      <c r="G562" s="269">
        <v>5.0000000000000001E-4</v>
      </c>
      <c r="H562" s="272">
        <v>1.0500000000000001E-2</v>
      </c>
    </row>
    <row r="563" spans="1:8" s="371" customFormat="1" x14ac:dyDescent="0.25">
      <c r="A563" s="237" t="s">
        <v>86</v>
      </c>
      <c r="B563" s="231" t="s">
        <v>252</v>
      </c>
      <c r="C563" s="378" t="s">
        <v>72</v>
      </c>
      <c r="D563" s="404">
        <v>7</v>
      </c>
      <c r="E563" s="406"/>
      <c r="F563" s="185"/>
      <c r="G563" s="269">
        <v>5.0000000000000001E-4</v>
      </c>
      <c r="H563" s="272">
        <v>3.5000000000000001E-3</v>
      </c>
    </row>
    <row r="564" spans="1:8" s="371" customFormat="1" x14ac:dyDescent="0.25">
      <c r="A564" s="237" t="s">
        <v>86</v>
      </c>
      <c r="B564" s="231" t="s">
        <v>253</v>
      </c>
      <c r="C564" s="378" t="s">
        <v>72</v>
      </c>
      <c r="D564" s="404">
        <v>8</v>
      </c>
      <c r="E564" s="406"/>
      <c r="F564" s="185"/>
      <c r="G564" s="269">
        <v>5.0000000000000001E-4</v>
      </c>
      <c r="H564" s="272">
        <v>4.0000000000000001E-3</v>
      </c>
    </row>
    <row r="565" spans="1:8" s="371" customFormat="1" x14ac:dyDescent="0.25">
      <c r="A565" s="237" t="s">
        <v>86</v>
      </c>
      <c r="B565" s="231" t="s">
        <v>255</v>
      </c>
      <c r="C565" s="378" t="s">
        <v>72</v>
      </c>
      <c r="D565" s="404">
        <v>7</v>
      </c>
      <c r="E565" s="406"/>
      <c r="F565" s="185"/>
      <c r="G565" s="269">
        <v>5.0000000000000001E-4</v>
      </c>
      <c r="H565" s="272">
        <v>3.5000000000000001E-3</v>
      </c>
    </row>
    <row r="566" spans="1:8" s="371" customFormat="1" x14ac:dyDescent="0.25">
      <c r="A566" s="237" t="s">
        <v>86</v>
      </c>
      <c r="B566" s="231" t="s">
        <v>257</v>
      </c>
      <c r="C566" s="378" t="s">
        <v>72</v>
      </c>
      <c r="D566" s="404">
        <v>8</v>
      </c>
      <c r="E566" s="406"/>
      <c r="F566" s="185"/>
      <c r="G566" s="269">
        <v>5.0000000000000001E-4</v>
      </c>
      <c r="H566" s="272">
        <v>4.0000000000000001E-3</v>
      </c>
    </row>
    <row r="567" spans="1:8" s="371" customFormat="1" x14ac:dyDescent="0.25">
      <c r="A567" s="237" t="s">
        <v>86</v>
      </c>
      <c r="B567" s="231" t="s">
        <v>259</v>
      </c>
      <c r="C567" s="378" t="s">
        <v>72</v>
      </c>
      <c r="D567" s="404">
        <v>14</v>
      </c>
      <c r="E567" s="406"/>
      <c r="F567" s="185"/>
      <c r="G567" s="269">
        <v>5.0000000000000001E-4</v>
      </c>
      <c r="H567" s="272">
        <v>7.0000000000000001E-3</v>
      </c>
    </row>
    <row r="568" spans="1:8" s="371" customFormat="1" x14ac:dyDescent="0.25">
      <c r="A568" s="237" t="s">
        <v>86</v>
      </c>
      <c r="B568" s="231" t="s">
        <v>265</v>
      </c>
      <c r="C568" s="378" t="s">
        <v>72</v>
      </c>
      <c r="D568" s="404">
        <v>8</v>
      </c>
      <c r="E568" s="406"/>
      <c r="F568" s="185"/>
      <c r="G568" s="269">
        <v>5.0000000000000001E-4</v>
      </c>
      <c r="H568" s="272">
        <v>4.0000000000000001E-3</v>
      </c>
    </row>
    <row r="569" spans="1:8" s="371" customFormat="1" x14ac:dyDescent="0.25">
      <c r="A569" s="237" t="s">
        <v>86</v>
      </c>
      <c r="B569" s="231" t="s">
        <v>266</v>
      </c>
      <c r="C569" s="378" t="s">
        <v>72</v>
      </c>
      <c r="D569" s="404">
        <v>44</v>
      </c>
      <c r="E569" s="406"/>
      <c r="F569" s="185"/>
      <c r="G569" s="269">
        <v>5.0000000000000001E-4</v>
      </c>
      <c r="H569" s="272">
        <v>2.1999999999999999E-2</v>
      </c>
    </row>
    <row r="570" spans="1:8" s="371" customFormat="1" x14ac:dyDescent="0.25">
      <c r="A570" s="237" t="s">
        <v>86</v>
      </c>
      <c r="B570" s="231" t="s">
        <v>267</v>
      </c>
      <c r="C570" s="378" t="s">
        <v>72</v>
      </c>
      <c r="D570" s="404">
        <v>16</v>
      </c>
      <c r="E570" s="406"/>
      <c r="F570" s="185"/>
      <c r="G570" s="269">
        <v>5.0000000000000001E-4</v>
      </c>
      <c r="H570" s="272">
        <v>8.0000000000000002E-3</v>
      </c>
    </row>
    <row r="571" spans="1:8" s="371" customFormat="1" x14ac:dyDescent="0.25">
      <c r="A571" s="237" t="s">
        <v>86</v>
      </c>
      <c r="B571" s="231" t="s">
        <v>270</v>
      </c>
      <c r="C571" s="378" t="s">
        <v>72</v>
      </c>
      <c r="D571" s="404">
        <v>32</v>
      </c>
      <c r="E571" s="406"/>
      <c r="F571" s="185"/>
      <c r="G571" s="269">
        <v>5.0000000000000001E-4</v>
      </c>
      <c r="H571" s="272">
        <v>1.6E-2</v>
      </c>
    </row>
    <row r="572" spans="1:8" s="371" customFormat="1" x14ac:dyDescent="0.25">
      <c r="A572" s="237" t="s">
        <v>86</v>
      </c>
      <c r="B572" s="231" t="s">
        <v>271</v>
      </c>
      <c r="C572" s="378" t="s">
        <v>72</v>
      </c>
      <c r="D572" s="404">
        <v>32</v>
      </c>
      <c r="E572" s="406"/>
      <c r="F572" s="185"/>
      <c r="G572" s="269">
        <v>5.0000000000000001E-4</v>
      </c>
      <c r="H572" s="272">
        <v>1.6E-2</v>
      </c>
    </row>
    <row r="573" spans="1:8" s="371" customFormat="1" x14ac:dyDescent="0.25">
      <c r="A573" s="237" t="s">
        <v>86</v>
      </c>
      <c r="B573" s="160" t="s">
        <v>422</v>
      </c>
      <c r="C573" s="378" t="s">
        <v>72</v>
      </c>
      <c r="D573" s="168">
        <v>31</v>
      </c>
      <c r="E573" s="406"/>
      <c r="F573" s="185"/>
      <c r="G573" s="269">
        <v>5.0000000000000001E-4</v>
      </c>
      <c r="H573" s="272">
        <v>1.55E-2</v>
      </c>
    </row>
    <row r="574" spans="1:8" s="371" customFormat="1" x14ac:dyDescent="0.25">
      <c r="A574" s="237" t="s">
        <v>86</v>
      </c>
      <c r="B574" s="231" t="s">
        <v>274</v>
      </c>
      <c r="C574" s="378" t="s">
        <v>72</v>
      </c>
      <c r="D574" s="404">
        <v>14</v>
      </c>
      <c r="E574" s="406"/>
      <c r="F574" s="185"/>
      <c r="G574" s="269">
        <v>5.0000000000000001E-4</v>
      </c>
      <c r="H574" s="272">
        <v>7.0000000000000001E-3</v>
      </c>
    </row>
    <row r="575" spans="1:8" s="371" customFormat="1" x14ac:dyDescent="0.25">
      <c r="A575" s="237"/>
      <c r="B575" s="231"/>
      <c r="C575" s="378" t="s">
        <v>72</v>
      </c>
      <c r="D575" s="405">
        <f>SUM(D560:D574)</f>
        <v>306</v>
      </c>
      <c r="E575" s="406"/>
      <c r="F575" s="185"/>
      <c r="G575" s="269"/>
      <c r="H575" s="272"/>
    </row>
    <row r="576" spans="1:8" s="371" customFormat="1" x14ac:dyDescent="0.25">
      <c r="A576" s="237"/>
      <c r="B576" s="157" t="s">
        <v>318</v>
      </c>
      <c r="C576" s="159"/>
      <c r="D576" s="404"/>
      <c r="E576" s="158"/>
      <c r="F576" s="185"/>
      <c r="G576" s="269"/>
      <c r="H576" s="272"/>
    </row>
    <row r="577" spans="1:8" s="371" customFormat="1" x14ac:dyDescent="0.25">
      <c r="A577" s="237" t="s">
        <v>86</v>
      </c>
      <c r="B577" s="231" t="s">
        <v>279</v>
      </c>
      <c r="C577" s="378" t="s">
        <v>72</v>
      </c>
      <c r="D577" s="404">
        <v>1314</v>
      </c>
      <c r="E577" s="406"/>
      <c r="F577" s="185"/>
      <c r="G577" s="269"/>
      <c r="H577" s="272"/>
    </row>
    <row r="578" spans="1:8" s="371" customFormat="1" x14ac:dyDescent="0.25">
      <c r="A578" s="237" t="s">
        <v>86</v>
      </c>
      <c r="B578" s="231" t="s">
        <v>284</v>
      </c>
      <c r="C578" s="378" t="s">
        <v>72</v>
      </c>
      <c r="D578" s="404">
        <v>180</v>
      </c>
      <c r="E578" s="406"/>
      <c r="F578" s="185"/>
      <c r="G578" s="269"/>
      <c r="H578" s="272"/>
    </row>
    <row r="579" spans="1:8" s="371" customFormat="1" x14ac:dyDescent="0.25">
      <c r="A579" s="237" t="s">
        <v>86</v>
      </c>
      <c r="B579" s="231" t="s">
        <v>286</v>
      </c>
      <c r="C579" s="378" t="s">
        <v>72</v>
      </c>
      <c r="D579" s="404">
        <v>180</v>
      </c>
      <c r="E579" s="406"/>
      <c r="F579" s="185"/>
      <c r="G579" s="269"/>
      <c r="H579" s="272"/>
    </row>
    <row r="580" spans="1:8" s="371" customFormat="1" x14ac:dyDescent="0.25">
      <c r="A580" s="237" t="s">
        <v>86</v>
      </c>
      <c r="B580" s="231" t="s">
        <v>288</v>
      </c>
      <c r="C580" s="378" t="s">
        <v>72</v>
      </c>
      <c r="D580" s="404">
        <v>180</v>
      </c>
      <c r="E580" s="406"/>
      <c r="F580" s="185"/>
      <c r="G580" s="269"/>
      <c r="H580" s="272"/>
    </row>
    <row r="581" spans="1:8" s="371" customFormat="1" x14ac:dyDescent="0.25">
      <c r="A581" s="237" t="s">
        <v>86</v>
      </c>
      <c r="B581" s="231" t="s">
        <v>290</v>
      </c>
      <c r="C581" s="378" t="s">
        <v>72</v>
      </c>
      <c r="D581" s="404">
        <v>180</v>
      </c>
      <c r="E581" s="406"/>
      <c r="F581" s="185"/>
      <c r="G581" s="269"/>
      <c r="H581" s="272"/>
    </row>
    <row r="582" spans="1:8" s="371" customFormat="1" x14ac:dyDescent="0.25">
      <c r="A582" s="237" t="s">
        <v>86</v>
      </c>
      <c r="B582" s="231" t="s">
        <v>291</v>
      </c>
      <c r="C582" s="378" t="s">
        <v>72</v>
      </c>
      <c r="D582" s="404">
        <v>180</v>
      </c>
      <c r="E582" s="406"/>
      <c r="F582" s="185"/>
      <c r="G582" s="269"/>
      <c r="H582" s="272"/>
    </row>
    <row r="583" spans="1:8" s="371" customFormat="1" x14ac:dyDescent="0.25">
      <c r="A583" s="237"/>
      <c r="B583" s="156"/>
      <c r="C583" s="159" t="s">
        <v>72</v>
      </c>
      <c r="D583" s="405">
        <f>SUM(D577:D582)</f>
        <v>2214</v>
      </c>
      <c r="E583" s="158"/>
      <c r="F583" s="185"/>
      <c r="G583" s="269"/>
      <c r="H583" s="272"/>
    </row>
    <row r="584" spans="1:8" s="371" customFormat="1" x14ac:dyDescent="0.25">
      <c r="A584" s="237" t="s">
        <v>86</v>
      </c>
      <c r="B584" s="156" t="s">
        <v>103</v>
      </c>
      <c r="C584" s="159" t="s">
        <v>76</v>
      </c>
      <c r="D584" s="158">
        <f>((0.15/100*30*D546)*1.05)</f>
        <v>2.253825</v>
      </c>
      <c r="E584" s="158"/>
      <c r="F584" s="185"/>
      <c r="G584" s="269">
        <v>1.5</v>
      </c>
      <c r="H584" s="272">
        <v>3.3807375</v>
      </c>
    </row>
    <row r="585" spans="1:8" s="371" customFormat="1" x14ac:dyDescent="0.25">
      <c r="A585" s="237" t="s">
        <v>86</v>
      </c>
      <c r="B585" s="156" t="s">
        <v>142</v>
      </c>
      <c r="C585" s="159" t="s">
        <v>76</v>
      </c>
      <c r="D585" s="158">
        <f>((0.15/100*30*D546)*1.05)</f>
        <v>2.253825</v>
      </c>
      <c r="E585" s="158"/>
      <c r="F585" s="185"/>
      <c r="G585" s="269">
        <v>1</v>
      </c>
      <c r="H585" s="272">
        <v>2.253825</v>
      </c>
    </row>
    <row r="586" spans="1:8" s="371" customFormat="1" x14ac:dyDescent="0.25">
      <c r="A586" s="237" t="s">
        <v>86</v>
      </c>
      <c r="B586" s="156" t="s">
        <v>143</v>
      </c>
      <c r="C586" s="159" t="s">
        <v>76</v>
      </c>
      <c r="D586" s="158">
        <f>((0.05*D546)*1.05)</f>
        <v>2.5042500000000003</v>
      </c>
      <c r="E586" s="158"/>
      <c r="F586" s="185"/>
      <c r="G586" s="269">
        <v>0.7</v>
      </c>
      <c r="H586" s="272">
        <v>1.7529750000000002</v>
      </c>
    </row>
    <row r="587" spans="1:8" s="371" customFormat="1" x14ac:dyDescent="0.25">
      <c r="A587" s="237" t="s">
        <v>86</v>
      </c>
      <c r="B587" s="156" t="s">
        <v>356</v>
      </c>
      <c r="C587" s="159" t="s">
        <v>72</v>
      </c>
      <c r="D587" s="158">
        <f>(D558*3)+D575</f>
        <v>309</v>
      </c>
      <c r="E587" s="158"/>
      <c r="F587" s="185"/>
      <c r="G587" s="269"/>
      <c r="H587" s="272"/>
    </row>
    <row r="588" spans="1:8" s="371" customFormat="1" x14ac:dyDescent="0.25">
      <c r="A588" s="237" t="s">
        <v>79</v>
      </c>
      <c r="B588" s="156" t="s">
        <v>145</v>
      </c>
      <c r="C588" s="159" t="s">
        <v>75</v>
      </c>
      <c r="D588" s="158">
        <f>D546</f>
        <v>47.7</v>
      </c>
      <c r="E588" s="158"/>
      <c r="F588" s="185"/>
      <c r="G588" s="269"/>
      <c r="H588" s="272"/>
    </row>
    <row r="589" spans="1:8" s="371" customFormat="1" x14ac:dyDescent="0.25">
      <c r="A589" s="237" t="s">
        <v>85</v>
      </c>
      <c r="B589" s="156" t="s">
        <v>131</v>
      </c>
      <c r="C589" s="159" t="s">
        <v>76</v>
      </c>
      <c r="D589" s="158">
        <f>D585+D584</f>
        <v>4.5076499999999999</v>
      </c>
      <c r="E589" s="158"/>
      <c r="F589" s="185"/>
      <c r="G589" s="269"/>
      <c r="H589" s="272"/>
    </row>
    <row r="590" spans="1:8" s="371" customFormat="1" x14ac:dyDescent="0.25">
      <c r="A590" s="237" t="s">
        <v>87</v>
      </c>
      <c r="B590" s="156" t="s">
        <v>88</v>
      </c>
      <c r="C590" s="159" t="s">
        <v>76</v>
      </c>
      <c r="D590" s="158">
        <f>D589</f>
        <v>4.5076499999999999</v>
      </c>
      <c r="E590" s="158"/>
      <c r="F590" s="185"/>
      <c r="G590" s="269"/>
      <c r="H590" s="272"/>
    </row>
    <row r="591" spans="1:8" s="371" customFormat="1" x14ac:dyDescent="0.25">
      <c r="A591" s="237" t="s">
        <v>89</v>
      </c>
      <c r="B591" s="156" t="s">
        <v>90</v>
      </c>
      <c r="C591" s="159" t="s">
        <v>76</v>
      </c>
      <c r="D591" s="158">
        <f>D589</f>
        <v>4.5076499999999999</v>
      </c>
      <c r="E591" s="158"/>
      <c r="F591" s="185"/>
      <c r="G591" s="269"/>
      <c r="H591" s="272"/>
    </row>
    <row r="592" spans="1:8" s="371" customFormat="1" x14ac:dyDescent="0.25">
      <c r="A592" s="237" t="s">
        <v>139</v>
      </c>
      <c r="B592" s="156" t="s">
        <v>198</v>
      </c>
      <c r="C592" s="159" t="s">
        <v>75</v>
      </c>
      <c r="D592" s="158">
        <f>D588</f>
        <v>47.7</v>
      </c>
      <c r="E592" s="158"/>
      <c r="F592" s="185"/>
      <c r="G592" s="269"/>
      <c r="H592" s="272"/>
    </row>
    <row r="593" spans="1:11" s="371" customFormat="1" x14ac:dyDescent="0.25">
      <c r="A593" s="237" t="s">
        <v>91</v>
      </c>
      <c r="B593" s="156" t="s">
        <v>125</v>
      </c>
      <c r="C593" s="159" t="s">
        <v>75</v>
      </c>
      <c r="D593" s="158">
        <f>D588*2</f>
        <v>95.4</v>
      </c>
      <c r="E593" s="158"/>
      <c r="F593" s="185"/>
      <c r="G593" s="269"/>
      <c r="H593" s="272"/>
    </row>
    <row r="594" spans="1:11" s="371" customFormat="1" x14ac:dyDescent="0.25">
      <c r="A594" s="237" t="s">
        <v>92</v>
      </c>
      <c r="B594" s="156" t="s">
        <v>294</v>
      </c>
      <c r="C594" s="159" t="s">
        <v>75</v>
      </c>
      <c r="D594" s="158">
        <f>D588*2</f>
        <v>95.4</v>
      </c>
      <c r="E594" s="158"/>
      <c r="F594" s="185"/>
      <c r="G594" s="269"/>
      <c r="H594" s="272"/>
    </row>
    <row r="595" spans="1:11" s="371" customFormat="1" x14ac:dyDescent="0.25">
      <c r="A595" s="237" t="s">
        <v>93</v>
      </c>
      <c r="B595" s="156" t="s">
        <v>94</v>
      </c>
      <c r="C595" s="159" t="s">
        <v>72</v>
      </c>
      <c r="D595" s="158">
        <f>D558</f>
        <v>1</v>
      </c>
      <c r="E595" s="158"/>
      <c r="F595" s="185"/>
      <c r="G595" s="269"/>
      <c r="H595" s="272"/>
    </row>
    <row r="596" spans="1:11" s="371" customFormat="1" ht="20.399999999999999" x14ac:dyDescent="0.25">
      <c r="A596" s="237" t="s">
        <v>120</v>
      </c>
      <c r="B596" s="156" t="s">
        <v>122</v>
      </c>
      <c r="C596" s="159" t="s">
        <v>72</v>
      </c>
      <c r="D596" s="158">
        <f>D595</f>
        <v>1</v>
      </c>
      <c r="E596" s="158"/>
      <c r="F596" s="185"/>
      <c r="G596" s="269"/>
      <c r="H596" s="272"/>
    </row>
    <row r="597" spans="1:11" s="371" customFormat="1" x14ac:dyDescent="0.25">
      <c r="A597" s="237" t="s">
        <v>201</v>
      </c>
      <c r="B597" s="156" t="s">
        <v>140</v>
      </c>
      <c r="C597" s="159" t="s">
        <v>72</v>
      </c>
      <c r="D597" s="158">
        <f>D546</f>
        <v>47.7</v>
      </c>
      <c r="E597" s="158"/>
      <c r="F597" s="185"/>
      <c r="G597" s="269"/>
      <c r="H597" s="272"/>
    </row>
    <row r="598" spans="1:11" s="371" customFormat="1" x14ac:dyDescent="0.25">
      <c r="A598" s="237" t="s">
        <v>295</v>
      </c>
      <c r="B598" s="156" t="s">
        <v>296</v>
      </c>
      <c r="C598" s="159" t="s">
        <v>72</v>
      </c>
      <c r="D598" s="158">
        <f>D597</f>
        <v>47.7</v>
      </c>
      <c r="E598" s="158"/>
      <c r="F598" s="185"/>
      <c r="G598" s="269"/>
      <c r="H598" s="272"/>
    </row>
    <row r="599" spans="1:11" s="371" customFormat="1" x14ac:dyDescent="0.25">
      <c r="A599" s="237" t="s">
        <v>95</v>
      </c>
      <c r="B599" s="156" t="s">
        <v>124</v>
      </c>
      <c r="C599" s="159" t="s">
        <v>77</v>
      </c>
      <c r="D599" s="158">
        <f>(D587/100000)</f>
        <v>3.0899999999999999E-3</v>
      </c>
      <c r="E599" s="158"/>
      <c r="F599" s="185"/>
      <c r="G599" s="269"/>
      <c r="H599" s="272"/>
    </row>
    <row r="600" spans="1:11" s="371" customFormat="1" x14ac:dyDescent="0.25">
      <c r="A600" s="237" t="s">
        <v>121</v>
      </c>
      <c r="B600" s="156" t="s">
        <v>147</v>
      </c>
      <c r="C600" s="159" t="s">
        <v>75</v>
      </c>
      <c r="D600" s="158">
        <f>D592</f>
        <v>47.7</v>
      </c>
      <c r="E600" s="158"/>
      <c r="F600" s="185"/>
      <c r="G600" s="269"/>
      <c r="H600" s="272"/>
    </row>
    <row r="601" spans="1:11" s="371" customFormat="1" x14ac:dyDescent="0.25">
      <c r="A601" s="237" t="s">
        <v>98</v>
      </c>
      <c r="B601" s="156" t="s">
        <v>99</v>
      </c>
      <c r="C601" s="159" t="s">
        <v>76</v>
      </c>
      <c r="D601" s="158">
        <f>D546*0.02</f>
        <v>0.95400000000000007</v>
      </c>
      <c r="E601" s="158"/>
      <c r="F601" s="185"/>
      <c r="G601" s="269"/>
      <c r="H601" s="272"/>
    </row>
    <row r="602" spans="1:11" s="371" customFormat="1" ht="13.8" thickBot="1" x14ac:dyDescent="0.3">
      <c r="A602" s="237" t="s">
        <v>375</v>
      </c>
      <c r="B602" s="156" t="s">
        <v>101</v>
      </c>
      <c r="C602" s="159" t="s">
        <v>77</v>
      </c>
      <c r="D602" s="158">
        <f>H602</f>
        <v>8.1159375000000011</v>
      </c>
      <c r="E602" s="158"/>
      <c r="F602" s="185"/>
      <c r="G602" s="269"/>
      <c r="H602" s="273">
        <v>8.1159375000000011</v>
      </c>
    </row>
    <row r="603" spans="1:11" s="355" customFormat="1" ht="13.8" thickBot="1" x14ac:dyDescent="0.3">
      <c r="A603" s="382"/>
      <c r="B603" s="383"/>
      <c r="C603" s="383"/>
      <c r="D603" s="384"/>
      <c r="E603" s="384"/>
      <c r="F603" s="385"/>
      <c r="G603" s="386"/>
      <c r="H603" s="386"/>
      <c r="I603" s="387">
        <f>SUM(I379:I602)</f>
        <v>0</v>
      </c>
      <c r="J603" s="267"/>
      <c r="K603" s="267"/>
    </row>
    <row r="604" spans="1:11" x14ac:dyDescent="0.25">
      <c r="D604" s="181"/>
    </row>
    <row r="605" spans="1:11" x14ac:dyDescent="0.25">
      <c r="B605" s="377" t="s">
        <v>102</v>
      </c>
      <c r="D605" s="181"/>
    </row>
    <row r="606" spans="1:11" x14ac:dyDescent="0.25">
      <c r="B606" s="377" t="s">
        <v>466</v>
      </c>
      <c r="D606" s="181"/>
    </row>
    <row r="607" spans="1:11" x14ac:dyDescent="0.25">
      <c r="B607" s="377" t="s">
        <v>467</v>
      </c>
      <c r="D607" s="181"/>
    </row>
    <row r="608" spans="1:11" x14ac:dyDescent="0.25">
      <c r="B608" s="377" t="s">
        <v>152</v>
      </c>
      <c r="D608" s="181"/>
    </row>
    <row r="609" spans="1:11" x14ac:dyDescent="0.25">
      <c r="B609" s="377" t="s">
        <v>129</v>
      </c>
      <c r="D609" s="181"/>
    </row>
    <row r="610" spans="1:11" x14ac:dyDescent="0.25">
      <c r="B610" s="377" t="s">
        <v>130</v>
      </c>
      <c r="D610" s="181"/>
    </row>
    <row r="611" spans="1:11" x14ac:dyDescent="0.25">
      <c r="D611" s="181"/>
    </row>
    <row r="612" spans="1:11" x14ac:dyDescent="0.25">
      <c r="C612" s="181"/>
      <c r="D612" s="181"/>
      <c r="E612" s="184"/>
      <c r="I612" s="162"/>
    </row>
    <row r="613" spans="1:11" x14ac:dyDescent="0.25">
      <c r="D613" s="181"/>
    </row>
    <row r="614" spans="1:11" ht="13.8" thickBot="1" x14ac:dyDescent="0.3">
      <c r="A614" s="225"/>
      <c r="B614" s="174"/>
      <c r="C614" s="174"/>
      <c r="D614" s="182"/>
      <c r="E614" s="182"/>
      <c r="F614" s="187"/>
      <c r="G614" s="187"/>
      <c r="H614" s="187"/>
      <c r="I614" s="187"/>
    </row>
    <row r="615" spans="1:11" s="247" customFormat="1" ht="31.2" thickBot="1" x14ac:dyDescent="0.3">
      <c r="A615" s="410"/>
      <c r="B615" s="242"/>
      <c r="C615" s="242"/>
      <c r="D615" s="243"/>
      <c r="E615" s="243"/>
      <c r="F615" s="244"/>
      <c r="G615" s="245" t="s">
        <v>429</v>
      </c>
      <c r="H615" s="246" t="s">
        <v>428</v>
      </c>
      <c r="I615" s="246" t="s">
        <v>430</v>
      </c>
    </row>
    <row r="616" spans="1:11" x14ac:dyDescent="0.25">
      <c r="A616" s="411">
        <v>1</v>
      </c>
      <c r="B616" s="212" t="s">
        <v>107</v>
      </c>
      <c r="C616" s="213"/>
      <c r="D616" s="214"/>
      <c r="E616" s="214"/>
      <c r="F616" s="255"/>
      <c r="G616" s="256">
        <f>F616</f>
        <v>0</v>
      </c>
      <c r="H616" s="274">
        <f t="shared" ref="H616:H625" si="8">G616*1.21</f>
        <v>0</v>
      </c>
      <c r="I616" s="274"/>
      <c r="J616" s="249"/>
      <c r="K616" s="249"/>
    </row>
    <row r="617" spans="1:11" x14ac:dyDescent="0.25">
      <c r="A617" s="412">
        <v>2</v>
      </c>
      <c r="B617" s="170" t="s">
        <v>141</v>
      </c>
      <c r="C617" s="166" t="s">
        <v>75</v>
      </c>
      <c r="D617" s="158">
        <f>D42</f>
        <v>1029</v>
      </c>
      <c r="E617" s="234"/>
      <c r="F617" s="257"/>
      <c r="G617" s="258">
        <f t="shared" ref="G617:G624" si="9">F617</f>
        <v>0</v>
      </c>
      <c r="H617" s="275">
        <f t="shared" si="8"/>
        <v>0</v>
      </c>
      <c r="I617" s="275"/>
      <c r="J617" s="249"/>
      <c r="K617" s="249"/>
    </row>
    <row r="618" spans="1:11" x14ac:dyDescent="0.25">
      <c r="A618" s="412">
        <v>3</v>
      </c>
      <c r="B618" s="170" t="s">
        <v>384</v>
      </c>
      <c r="C618" s="166" t="s">
        <v>72</v>
      </c>
      <c r="D618" s="158">
        <v>2</v>
      </c>
      <c r="E618" s="234"/>
      <c r="F618" s="257"/>
      <c r="G618" s="258">
        <f t="shared" si="9"/>
        <v>0</v>
      </c>
      <c r="H618" s="275">
        <f t="shared" si="8"/>
        <v>0</v>
      </c>
      <c r="I618" s="275">
        <f>('Péče po dobu tří let'!G72*1.21)*3</f>
        <v>0</v>
      </c>
      <c r="J618" s="249"/>
      <c r="K618" s="249"/>
    </row>
    <row r="619" spans="1:11" x14ac:dyDescent="0.25">
      <c r="A619" s="413"/>
      <c r="B619" s="156" t="s">
        <v>185</v>
      </c>
      <c r="C619" s="159" t="s">
        <v>75</v>
      </c>
      <c r="D619" s="158">
        <v>31.6</v>
      </c>
      <c r="E619" s="234"/>
      <c r="F619" s="257"/>
      <c r="G619" s="259">
        <f t="shared" si="9"/>
        <v>0</v>
      </c>
      <c r="H619" s="275">
        <f t="shared" si="8"/>
        <v>0</v>
      </c>
      <c r="I619" s="275">
        <f>(('Péče po dobu tří let'!G3*1.21)*3)</f>
        <v>0</v>
      </c>
      <c r="J619" s="249"/>
      <c r="K619" s="249"/>
    </row>
    <row r="620" spans="1:11" x14ac:dyDescent="0.25">
      <c r="A620" s="413"/>
      <c r="B620" s="156" t="s">
        <v>186</v>
      </c>
      <c r="C620" s="159" t="s">
        <v>75</v>
      </c>
      <c r="D620" s="158">
        <v>20</v>
      </c>
      <c r="E620" s="234"/>
      <c r="F620" s="257"/>
      <c r="G620" s="259">
        <f t="shared" si="9"/>
        <v>0</v>
      </c>
      <c r="H620" s="275">
        <f t="shared" si="8"/>
        <v>0</v>
      </c>
      <c r="I620" s="275"/>
      <c r="J620" s="249"/>
      <c r="K620" s="249"/>
    </row>
    <row r="621" spans="1:11" x14ac:dyDescent="0.25">
      <c r="A621" s="413"/>
      <c r="B621" s="156" t="s">
        <v>187</v>
      </c>
      <c r="C621" s="159" t="s">
        <v>75</v>
      </c>
      <c r="D621" s="158">
        <v>128.19999999999999</v>
      </c>
      <c r="E621" s="234"/>
      <c r="F621" s="257"/>
      <c r="G621" s="259">
        <f t="shared" si="9"/>
        <v>0</v>
      </c>
      <c r="H621" s="275">
        <f t="shared" si="8"/>
        <v>0</v>
      </c>
      <c r="I621" s="275"/>
      <c r="J621" s="249"/>
      <c r="K621" s="249"/>
    </row>
    <row r="622" spans="1:11" x14ac:dyDescent="0.25">
      <c r="A622" s="413"/>
      <c r="B622" s="156" t="s">
        <v>293</v>
      </c>
      <c r="C622" s="159" t="s">
        <v>75</v>
      </c>
      <c r="D622" s="158">
        <v>88.3</v>
      </c>
      <c r="E622" s="158"/>
      <c r="F622" s="257"/>
      <c r="G622" s="259">
        <f t="shared" si="9"/>
        <v>0</v>
      </c>
      <c r="H622" s="275">
        <f t="shared" si="8"/>
        <v>0</v>
      </c>
      <c r="I622" s="275"/>
      <c r="J622" s="249"/>
      <c r="K622" s="249"/>
    </row>
    <row r="623" spans="1:11" x14ac:dyDescent="0.25">
      <c r="A623" s="413"/>
      <c r="B623" s="156" t="s">
        <v>183</v>
      </c>
      <c r="C623" s="159" t="s">
        <v>75</v>
      </c>
      <c r="D623" s="158">
        <v>18.399999999999999</v>
      </c>
      <c r="E623" s="158"/>
      <c r="F623" s="257"/>
      <c r="G623" s="259">
        <f t="shared" si="9"/>
        <v>0</v>
      </c>
      <c r="H623" s="275">
        <f t="shared" si="8"/>
        <v>0</v>
      </c>
      <c r="I623" s="275"/>
      <c r="J623" s="249"/>
      <c r="K623" s="249"/>
    </row>
    <row r="624" spans="1:11" x14ac:dyDescent="0.25">
      <c r="A624" s="413"/>
      <c r="B624" s="156" t="s">
        <v>184</v>
      </c>
      <c r="C624" s="159" t="s">
        <v>75</v>
      </c>
      <c r="D624" s="158">
        <v>54.3</v>
      </c>
      <c r="E624" s="158"/>
      <c r="F624" s="257"/>
      <c r="G624" s="259">
        <f t="shared" si="9"/>
        <v>0</v>
      </c>
      <c r="H624" s="275">
        <f t="shared" si="8"/>
        <v>0</v>
      </c>
      <c r="I624" s="275"/>
      <c r="J624" s="249"/>
      <c r="K624" s="249"/>
    </row>
    <row r="625" spans="1:11" x14ac:dyDescent="0.25">
      <c r="A625" s="413"/>
      <c r="B625" s="156" t="s">
        <v>298</v>
      </c>
      <c r="C625" s="159" t="s">
        <v>75</v>
      </c>
      <c r="D625" s="158">
        <v>686</v>
      </c>
      <c r="E625" s="158"/>
      <c r="F625" s="257"/>
      <c r="G625" s="259">
        <f>F625</f>
        <v>0</v>
      </c>
      <c r="H625" s="275">
        <f t="shared" si="8"/>
        <v>0</v>
      </c>
      <c r="I625" s="275">
        <f>'Péče po dobu tří let'!G62*1.21*3</f>
        <v>0</v>
      </c>
      <c r="J625" s="249"/>
      <c r="K625" s="249"/>
    </row>
    <row r="626" spans="1:11" x14ac:dyDescent="0.25">
      <c r="A626" s="412"/>
      <c r="B626" s="160"/>
      <c r="C626" s="166"/>
      <c r="D626" s="158"/>
      <c r="E626" s="158"/>
      <c r="F626" s="257"/>
      <c r="G626" s="259"/>
      <c r="H626" s="275"/>
      <c r="I626" s="275"/>
      <c r="J626" s="249"/>
      <c r="K626" s="249"/>
    </row>
    <row r="627" spans="1:11" s="235" customFormat="1" x14ac:dyDescent="0.25">
      <c r="A627" s="414"/>
      <c r="B627" s="156" t="str">
        <f>B378</f>
        <v>Hlavní areál</v>
      </c>
      <c r="C627" s="159"/>
      <c r="D627" s="158"/>
      <c r="E627" s="158"/>
      <c r="F627" s="257"/>
      <c r="G627" s="259"/>
      <c r="H627" s="275"/>
      <c r="I627" s="275"/>
    </row>
    <row r="628" spans="1:11" s="235" customFormat="1" x14ac:dyDescent="0.25">
      <c r="A628" s="414"/>
      <c r="B628" s="156" t="str">
        <f>B379</f>
        <v>TZ 04</v>
      </c>
      <c r="C628" s="159" t="s">
        <v>75</v>
      </c>
      <c r="D628" s="158">
        <f>D379</f>
        <v>15.7</v>
      </c>
      <c r="E628" s="158"/>
      <c r="F628" s="257"/>
      <c r="G628" s="259">
        <f>F628</f>
        <v>0</v>
      </c>
      <c r="H628" s="275">
        <f>G628*1.21</f>
        <v>0</v>
      </c>
      <c r="I628" s="275">
        <f>'Péče po dobu tří let'!I17</f>
        <v>0</v>
      </c>
    </row>
    <row r="629" spans="1:11" s="235" customFormat="1" x14ac:dyDescent="0.25">
      <c r="A629" s="414"/>
      <c r="B629" s="156" t="str">
        <f>B429</f>
        <v>TZ 05</v>
      </c>
      <c r="C629" s="159" t="s">
        <v>75</v>
      </c>
      <c r="D629" s="158">
        <f>D429</f>
        <v>88.5</v>
      </c>
      <c r="E629" s="158"/>
      <c r="F629" s="257"/>
      <c r="G629" s="259">
        <f>F629</f>
        <v>0</v>
      </c>
      <c r="H629" s="275">
        <f>G629*1.21</f>
        <v>0</v>
      </c>
      <c r="I629" s="275">
        <f>'Péče po dobu tří let'!G27*1.21*3</f>
        <v>0</v>
      </c>
    </row>
    <row r="630" spans="1:11" s="235" customFormat="1" x14ac:dyDescent="0.25">
      <c r="A630" s="414"/>
      <c r="B630" s="156" t="str">
        <f>B486</f>
        <v>TZ 06.01,02</v>
      </c>
      <c r="C630" s="159" t="s">
        <v>75</v>
      </c>
      <c r="D630" s="158">
        <f>D486</f>
        <v>29.7</v>
      </c>
      <c r="E630" s="158"/>
      <c r="F630" s="257"/>
      <c r="G630" s="259">
        <f>F630</f>
        <v>0</v>
      </c>
      <c r="H630" s="275">
        <f>G630*1.21</f>
        <v>0</v>
      </c>
      <c r="I630" s="275">
        <f>'Péče po dobu tří let'!G37*1.21*3</f>
        <v>0</v>
      </c>
    </row>
    <row r="631" spans="1:11" s="235" customFormat="1" x14ac:dyDescent="0.25">
      <c r="A631" s="414"/>
      <c r="B631" s="156" t="str">
        <f>B546</f>
        <v>TZ 07</v>
      </c>
      <c r="C631" s="159" t="s">
        <v>75</v>
      </c>
      <c r="D631" s="158">
        <f>D546</f>
        <v>47.7</v>
      </c>
      <c r="E631" s="158"/>
      <c r="F631" s="257"/>
      <c r="G631" s="259">
        <f>F631</f>
        <v>0</v>
      </c>
      <c r="H631" s="275">
        <f>G631*1.21</f>
        <v>0</v>
      </c>
      <c r="I631" s="275">
        <f>'Péče po dobu tří let'!G48*1.21*3</f>
        <v>0</v>
      </c>
    </row>
    <row r="632" spans="1:11" s="235" customFormat="1" x14ac:dyDescent="0.25">
      <c r="A632" s="414">
        <v>4</v>
      </c>
      <c r="B632" s="157" t="s">
        <v>319</v>
      </c>
      <c r="C632" s="159"/>
      <c r="D632" s="158"/>
      <c r="E632" s="158"/>
      <c r="F632" s="257"/>
      <c r="G632" s="258">
        <f>SUM(G619:G631)</f>
        <v>0</v>
      </c>
      <c r="H632" s="275"/>
      <c r="I632" s="275"/>
    </row>
    <row r="633" spans="1:11" s="250" customFormat="1" x14ac:dyDescent="0.25">
      <c r="A633" s="415"/>
      <c r="B633" s="393"/>
      <c r="C633" s="394"/>
      <c r="D633" s="395"/>
      <c r="E633" s="395"/>
      <c r="F633" s="396"/>
      <c r="G633" s="397"/>
      <c r="H633" s="398"/>
      <c r="I633" s="398"/>
    </row>
    <row r="634" spans="1:11" s="250" customFormat="1" x14ac:dyDescent="0.25">
      <c r="A634" s="415"/>
      <c r="B634" s="156" t="s">
        <v>453</v>
      </c>
      <c r="C634" s="159" t="s">
        <v>75</v>
      </c>
      <c r="D634" s="158">
        <f>SUM(D619:D633)</f>
        <v>1208.4000000000001</v>
      </c>
      <c r="E634" s="395"/>
      <c r="F634" s="396"/>
      <c r="G634" s="397"/>
      <c r="H634" s="398"/>
      <c r="I634" s="398"/>
    </row>
    <row r="635" spans="1:11" s="235" customFormat="1" x14ac:dyDescent="0.25">
      <c r="A635" s="414"/>
      <c r="B635" s="232"/>
      <c r="C635" s="233"/>
      <c r="D635" s="234"/>
      <c r="E635" s="234"/>
      <c r="F635" s="260"/>
      <c r="G635" s="261"/>
      <c r="H635" s="276"/>
      <c r="I635" s="276"/>
    </row>
    <row r="636" spans="1:11" x14ac:dyDescent="0.25">
      <c r="A636" s="413"/>
      <c r="B636" s="157"/>
      <c r="C636" s="159"/>
      <c r="D636" s="158"/>
      <c r="E636" s="158"/>
      <c r="F636" s="257"/>
      <c r="G636" s="259"/>
      <c r="H636" s="275"/>
      <c r="I636" s="275"/>
      <c r="J636" s="249"/>
      <c r="K636" s="249"/>
    </row>
    <row r="637" spans="1:11" x14ac:dyDescent="0.25">
      <c r="A637" s="416">
        <v>5</v>
      </c>
      <c r="B637" s="208" t="s">
        <v>455</v>
      </c>
      <c r="C637" s="188" t="s">
        <v>403</v>
      </c>
      <c r="D637" s="202">
        <v>3</v>
      </c>
      <c r="E637" s="202"/>
      <c r="F637" s="262"/>
      <c r="G637" s="263">
        <f>'Péče po dobu tří let'!G81</f>
        <v>0</v>
      </c>
      <c r="H637" s="275">
        <f>G637*1.21</f>
        <v>0</v>
      </c>
      <c r="I637" s="275"/>
      <c r="J637" s="249"/>
      <c r="K637" s="249"/>
    </row>
    <row r="638" spans="1:11" ht="13.8" thickBot="1" x14ac:dyDescent="0.3">
      <c r="A638" s="417"/>
      <c r="B638" s="175"/>
      <c r="C638" s="175"/>
      <c r="D638" s="202"/>
      <c r="E638" s="219"/>
      <c r="F638" s="262"/>
      <c r="G638" s="264"/>
      <c r="H638" s="277"/>
      <c r="I638" s="277"/>
      <c r="J638" s="249"/>
      <c r="K638" s="249"/>
    </row>
    <row r="639" spans="1:11" x14ac:dyDescent="0.25">
      <c r="A639" s="418"/>
      <c r="B639" s="222" t="s">
        <v>381</v>
      </c>
      <c r="C639" s="220"/>
      <c r="D639" s="214"/>
      <c r="E639" s="221"/>
      <c r="F639" s="255"/>
      <c r="G639" s="228">
        <f>SUM(G616:G638)-G632</f>
        <v>0</v>
      </c>
      <c r="H639" s="274"/>
      <c r="I639" s="274"/>
      <c r="J639" s="249"/>
      <c r="K639" s="249"/>
    </row>
    <row r="640" spans="1:11" x14ac:dyDescent="0.25">
      <c r="A640" s="413"/>
      <c r="B640" s="210" t="s">
        <v>382</v>
      </c>
      <c r="C640" s="160"/>
      <c r="D640" s="158"/>
      <c r="E640" s="168"/>
      <c r="F640" s="257"/>
      <c r="G640" s="229">
        <f>G639/100*21</f>
        <v>0</v>
      </c>
      <c r="H640" s="275"/>
      <c r="I640" s="275"/>
      <c r="J640" s="249"/>
      <c r="K640" s="249"/>
    </row>
    <row r="641" spans="1:11" ht="13.8" thickBot="1" x14ac:dyDescent="0.3">
      <c r="A641" s="419"/>
      <c r="B641" s="223" t="s">
        <v>383</v>
      </c>
      <c r="C641" s="216"/>
      <c r="D641" s="217"/>
      <c r="E641" s="218"/>
      <c r="F641" s="265"/>
      <c r="G641" s="230">
        <f>SUM(G639:G640)</f>
        <v>0</v>
      </c>
      <c r="H641" s="278">
        <f>SUM(H616:H640)</f>
        <v>0</v>
      </c>
      <c r="I641" s="278">
        <f>SUM(I618:I640)</f>
        <v>0</v>
      </c>
      <c r="J641" s="249"/>
      <c r="K641" s="249"/>
    </row>
    <row r="642" spans="1:11" x14ac:dyDescent="0.25">
      <c r="C642" s="174"/>
    </row>
    <row r="643" spans="1:11" x14ac:dyDescent="0.25">
      <c r="C643" s="174"/>
      <c r="J643" s="407"/>
    </row>
    <row r="646" spans="1:11" ht="14.4" x14ac:dyDescent="0.25">
      <c r="B646" s="251"/>
    </row>
  </sheetData>
  <mergeCells count="1">
    <mergeCell ref="D2:F2"/>
  </mergeCells>
  <pageMargins left="0.70866141732283472" right="0.11811023622047245" top="0.59055118110236227" bottom="0.39370078740157483" header="0.31496062992125984" footer="0.11811023622047245"/>
  <pageSetup paperSize="9" scale="90" fitToHeight="0" orientation="landscape" r:id="rId1"/>
  <headerFooter>
    <oddFooter>&amp;L&amp;A&amp;R&amp;P/&amp;N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83"/>
  <sheetViews>
    <sheetView workbookViewId="0">
      <pane ySplit="1" topLeftCell="A2" activePane="bottomLeft" state="frozen"/>
      <selection pane="bottomLeft" activeCell="E4" sqref="E4:F26"/>
    </sheetView>
  </sheetViews>
  <sheetFormatPr defaultColWidth="24" defaultRowHeight="13.2" x14ac:dyDescent="0.25"/>
  <cols>
    <col min="1" max="1" width="10.5546875" style="348" bestFit="1" customWidth="1"/>
    <col min="2" max="2" width="35.88671875" style="249" customWidth="1"/>
    <col min="3" max="3" width="4.5546875" style="249" bestFit="1" customWidth="1"/>
    <col min="4" max="4" width="7.88671875" style="249" bestFit="1" customWidth="1"/>
    <col min="5" max="5" width="7" style="249" bestFit="1" customWidth="1"/>
    <col min="6" max="6" width="6.5546875" style="355" bestFit="1" customWidth="1"/>
    <col min="7" max="9" width="6.5546875" style="338" bestFit="1" customWidth="1"/>
    <col min="10" max="10" width="5.6640625" style="338" bestFit="1" customWidth="1"/>
    <col min="11" max="11" width="34.33203125" style="338" bestFit="1" customWidth="1"/>
    <col min="12" max="13" width="8.88671875" style="249" customWidth="1"/>
    <col min="14" max="16384" width="24" style="249"/>
  </cols>
  <sheetData>
    <row r="1" spans="1:13" s="338" customFormat="1" ht="41.4" thickBot="1" x14ac:dyDescent="0.3">
      <c r="A1" s="307" t="s">
        <v>66</v>
      </c>
      <c r="B1" s="308" t="s">
        <v>67</v>
      </c>
      <c r="C1" s="309" t="s">
        <v>68</v>
      </c>
      <c r="D1" s="310" t="s">
        <v>69</v>
      </c>
      <c r="E1" s="310" t="s">
        <v>70</v>
      </c>
      <c r="F1" s="311" t="s">
        <v>71</v>
      </c>
      <c r="G1" s="337" t="s">
        <v>458</v>
      </c>
      <c r="H1" s="297" t="s">
        <v>459</v>
      </c>
      <c r="I1" s="312" t="s">
        <v>460</v>
      </c>
      <c r="J1" s="306"/>
    </row>
    <row r="2" spans="1:13" ht="13.8" thickBot="1" x14ac:dyDescent="0.3">
      <c r="A2" s="314"/>
      <c r="B2" s="315" t="s">
        <v>314</v>
      </c>
      <c r="C2" s="316"/>
      <c r="D2" s="317"/>
      <c r="E2" s="317"/>
      <c r="F2" s="320"/>
    </row>
    <row r="3" spans="1:13" ht="13.8" thickBot="1" x14ac:dyDescent="0.3">
      <c r="A3" s="313"/>
      <c r="B3" s="286" t="s">
        <v>386</v>
      </c>
      <c r="C3" s="287"/>
      <c r="D3" s="288"/>
      <c r="E3" s="288"/>
      <c r="F3" s="289"/>
      <c r="G3" s="320">
        <f>SUM(F3:F15)</f>
        <v>0</v>
      </c>
      <c r="H3" s="195">
        <f>G3*1.21</f>
        <v>0</v>
      </c>
      <c r="I3" s="339">
        <f>H3*3</f>
        <v>0</v>
      </c>
      <c r="J3" s="305"/>
    </row>
    <row r="4" spans="1:13" x14ac:dyDescent="0.25">
      <c r="A4" s="241"/>
      <c r="B4" s="209" t="s">
        <v>392</v>
      </c>
      <c r="C4" s="205" t="s">
        <v>75</v>
      </c>
      <c r="D4" s="189">
        <v>335</v>
      </c>
      <c r="E4" s="189"/>
      <c r="F4" s="190"/>
      <c r="G4" s="280"/>
      <c r="H4" s="174"/>
      <c r="I4" s="305"/>
      <c r="J4" s="305"/>
    </row>
    <row r="5" spans="1:13" x14ac:dyDescent="0.25">
      <c r="A5" s="237" t="s">
        <v>391</v>
      </c>
      <c r="B5" s="156" t="s">
        <v>393</v>
      </c>
      <c r="C5" s="159" t="s">
        <v>75</v>
      </c>
      <c r="D5" s="158">
        <f>D4</f>
        <v>335</v>
      </c>
      <c r="E5" s="158"/>
      <c r="F5" s="190"/>
      <c r="G5" s="280"/>
      <c r="H5" s="174"/>
      <c r="I5" s="305"/>
      <c r="J5" s="305"/>
    </row>
    <row r="6" spans="1:13" x14ac:dyDescent="0.25">
      <c r="A6" s="237" t="s">
        <v>362</v>
      </c>
      <c r="B6" s="156" t="s">
        <v>397</v>
      </c>
      <c r="C6" s="159" t="s">
        <v>75</v>
      </c>
      <c r="D6" s="158">
        <f>D5</f>
        <v>335</v>
      </c>
      <c r="E6" s="158"/>
      <c r="F6" s="190"/>
      <c r="G6" s="280"/>
      <c r="H6" s="174"/>
      <c r="I6" s="305"/>
      <c r="J6" s="305"/>
    </row>
    <row r="7" spans="1:13" x14ac:dyDescent="0.25">
      <c r="A7" s="237" t="s">
        <v>398</v>
      </c>
      <c r="B7" s="156" t="s">
        <v>396</v>
      </c>
      <c r="C7" s="159" t="s">
        <v>78</v>
      </c>
      <c r="D7" s="158">
        <f>D6*0.03</f>
        <v>10.049999999999999</v>
      </c>
      <c r="E7" s="158"/>
      <c r="F7" s="190"/>
      <c r="G7" s="280"/>
      <c r="H7" s="174"/>
      <c r="I7" s="305"/>
      <c r="J7" s="305"/>
    </row>
    <row r="8" spans="1:13" x14ac:dyDescent="0.25">
      <c r="A8" s="237" t="s">
        <v>373</v>
      </c>
      <c r="B8" s="156" t="s">
        <v>474</v>
      </c>
      <c r="C8" s="159" t="s">
        <v>75</v>
      </c>
      <c r="D8" s="158">
        <f>D4*2</f>
        <v>670</v>
      </c>
      <c r="E8" s="158"/>
      <c r="F8" s="190"/>
      <c r="G8" s="280"/>
      <c r="H8" s="174"/>
      <c r="I8" s="305"/>
      <c r="J8" s="305"/>
    </row>
    <row r="9" spans="1:13" x14ac:dyDescent="0.25">
      <c r="A9" s="237" t="s">
        <v>374</v>
      </c>
      <c r="B9" s="156" t="s">
        <v>377</v>
      </c>
      <c r="C9" s="159" t="s">
        <v>75</v>
      </c>
      <c r="D9" s="158">
        <f>D4*4</f>
        <v>1340</v>
      </c>
      <c r="E9" s="158"/>
      <c r="F9" s="190"/>
      <c r="G9" s="280"/>
      <c r="H9" s="174"/>
      <c r="I9" s="305"/>
      <c r="J9" s="305"/>
    </row>
    <row r="10" spans="1:13" ht="20.399999999999999" x14ac:dyDescent="0.25">
      <c r="A10" s="237" t="s">
        <v>375</v>
      </c>
      <c r="B10" s="156" t="s">
        <v>369</v>
      </c>
      <c r="C10" s="159" t="s">
        <v>76</v>
      </c>
      <c r="D10" s="158">
        <f>D4*3*0.01*6</f>
        <v>60.300000000000004</v>
      </c>
      <c r="E10" s="158"/>
      <c r="F10" s="190"/>
      <c r="G10" s="280"/>
      <c r="H10" s="174"/>
      <c r="I10" s="305"/>
      <c r="J10" s="305"/>
    </row>
    <row r="11" spans="1:13" x14ac:dyDescent="0.25">
      <c r="A11" s="237" t="s">
        <v>394</v>
      </c>
      <c r="B11" s="156" t="s">
        <v>395</v>
      </c>
      <c r="C11" s="159" t="s">
        <v>72</v>
      </c>
      <c r="D11" s="158">
        <v>6</v>
      </c>
      <c r="E11" s="158"/>
      <c r="F11" s="190"/>
      <c r="G11" s="187"/>
      <c r="H11" s="174"/>
      <c r="I11" s="305"/>
      <c r="J11" s="305"/>
    </row>
    <row r="12" spans="1:13" x14ac:dyDescent="0.25">
      <c r="A12" s="237"/>
      <c r="B12" s="156" t="s">
        <v>220</v>
      </c>
      <c r="C12" s="159" t="s">
        <v>72</v>
      </c>
      <c r="D12" s="158">
        <v>5</v>
      </c>
      <c r="E12" s="158"/>
      <c r="F12" s="190"/>
      <c r="G12" s="187"/>
      <c r="H12" s="174"/>
      <c r="I12" s="305"/>
      <c r="J12" s="305"/>
    </row>
    <row r="13" spans="1:13" ht="13.8" thickBot="1" x14ac:dyDescent="0.3">
      <c r="A13" s="237" t="s">
        <v>391</v>
      </c>
      <c r="B13" s="156" t="s">
        <v>82</v>
      </c>
      <c r="C13" s="159" t="s">
        <v>76</v>
      </c>
      <c r="D13" s="158">
        <f>D4*0.01</f>
        <v>3.35</v>
      </c>
      <c r="E13" s="158"/>
      <c r="F13" s="190"/>
      <c r="G13" s="280"/>
      <c r="H13" s="174"/>
      <c r="I13" s="305"/>
      <c r="J13" s="305"/>
    </row>
    <row r="14" spans="1:13" ht="31.2" thickBot="1" x14ac:dyDescent="0.3">
      <c r="A14" s="237" t="s">
        <v>375</v>
      </c>
      <c r="B14" s="156" t="s">
        <v>451</v>
      </c>
      <c r="C14" s="159" t="s">
        <v>76</v>
      </c>
      <c r="D14" s="158">
        <f>D12*2*0.05*6</f>
        <v>3</v>
      </c>
      <c r="E14" s="158"/>
      <c r="F14" s="190"/>
      <c r="G14" s="280"/>
      <c r="H14" s="174"/>
      <c r="I14" s="305"/>
      <c r="J14" s="305"/>
      <c r="K14" s="319" t="s">
        <v>448</v>
      </c>
      <c r="L14" s="321" t="s">
        <v>449</v>
      </c>
      <c r="M14" s="322" t="s">
        <v>449</v>
      </c>
    </row>
    <row r="15" spans="1:13" x14ac:dyDescent="0.25">
      <c r="A15" s="237" t="s">
        <v>391</v>
      </c>
      <c r="B15" s="156" t="s">
        <v>82</v>
      </c>
      <c r="C15" s="159" t="s">
        <v>76</v>
      </c>
      <c r="D15" s="158">
        <f>D4*0.01</f>
        <v>3.35</v>
      </c>
      <c r="E15" s="158"/>
      <c r="F15" s="190"/>
      <c r="G15" s="280"/>
      <c r="H15" s="174"/>
      <c r="I15" s="305"/>
      <c r="J15" s="305"/>
      <c r="K15" s="323" t="s">
        <v>436</v>
      </c>
      <c r="L15" s="324">
        <v>0</v>
      </c>
      <c r="M15" s="325">
        <v>0</v>
      </c>
    </row>
    <row r="16" spans="1:13" ht="13.8" thickBot="1" x14ac:dyDescent="0.3">
      <c r="A16" s="240"/>
      <c r="B16" s="200"/>
      <c r="C16" s="201"/>
      <c r="D16" s="202"/>
      <c r="E16" s="202"/>
      <c r="F16" s="224"/>
      <c r="G16" s="280"/>
      <c r="H16" s="174"/>
      <c r="I16" s="305"/>
      <c r="J16" s="305"/>
      <c r="K16" s="326" t="s">
        <v>437</v>
      </c>
      <c r="L16" s="327">
        <v>0</v>
      </c>
      <c r="M16" s="328">
        <v>0</v>
      </c>
    </row>
    <row r="17" spans="1:13" ht="13.8" thickBot="1" x14ac:dyDescent="0.3">
      <c r="A17" s="293"/>
      <c r="B17" s="192" t="s">
        <v>404</v>
      </c>
      <c r="C17" s="193"/>
      <c r="D17" s="194"/>
      <c r="E17" s="194"/>
      <c r="F17" s="195"/>
      <c r="G17" s="320">
        <f>SUM(F17:F25)</f>
        <v>0</v>
      </c>
      <c r="H17" s="195">
        <f>G17*1.21</f>
        <v>0</v>
      </c>
      <c r="I17" s="339">
        <f>H17*3</f>
        <v>0</v>
      </c>
      <c r="J17" s="305"/>
      <c r="K17" s="326" t="s">
        <v>438</v>
      </c>
      <c r="L17" s="327">
        <v>0</v>
      </c>
      <c r="M17" s="328">
        <v>0</v>
      </c>
    </row>
    <row r="18" spans="1:13" x14ac:dyDescent="0.25">
      <c r="A18" s="241"/>
      <c r="B18" s="209" t="s">
        <v>392</v>
      </c>
      <c r="C18" s="205" t="s">
        <v>75</v>
      </c>
      <c r="D18" s="189">
        <f>'Položky I. etp. - zámek, hl. a'!D628</f>
        <v>15.7</v>
      </c>
      <c r="E18" s="189"/>
      <c r="F18" s="190"/>
      <c r="G18" s="280"/>
      <c r="H18" s="174"/>
      <c r="I18" s="305"/>
      <c r="J18" s="305"/>
      <c r="K18" s="326" t="s">
        <v>439</v>
      </c>
      <c r="L18" s="327">
        <v>0.5</v>
      </c>
      <c r="M18" s="328">
        <v>0.5</v>
      </c>
    </row>
    <row r="19" spans="1:13" x14ac:dyDescent="0.25">
      <c r="A19" s="237" t="s">
        <v>391</v>
      </c>
      <c r="B19" s="156" t="s">
        <v>393</v>
      </c>
      <c r="C19" s="159" t="s">
        <v>75</v>
      </c>
      <c r="D19" s="158">
        <f>D18</f>
        <v>15.7</v>
      </c>
      <c r="E19" s="158"/>
      <c r="F19" s="190"/>
      <c r="G19" s="280"/>
      <c r="H19" s="174"/>
      <c r="I19" s="305"/>
      <c r="J19" s="305"/>
      <c r="K19" s="326" t="s">
        <v>440</v>
      </c>
      <c r="L19" s="327">
        <v>2</v>
      </c>
      <c r="M19" s="328">
        <v>1</v>
      </c>
    </row>
    <row r="20" spans="1:13" x14ac:dyDescent="0.25">
      <c r="A20" s="237" t="s">
        <v>362</v>
      </c>
      <c r="B20" s="156" t="s">
        <v>397</v>
      </c>
      <c r="C20" s="159" t="s">
        <v>75</v>
      </c>
      <c r="D20" s="158">
        <f>D19</f>
        <v>15.7</v>
      </c>
      <c r="E20" s="158"/>
      <c r="F20" s="190"/>
      <c r="G20" s="280"/>
      <c r="H20" s="174"/>
      <c r="I20" s="305"/>
      <c r="J20" s="305"/>
      <c r="K20" s="326" t="s">
        <v>441</v>
      </c>
      <c r="L20" s="327">
        <v>3</v>
      </c>
      <c r="M20" s="328">
        <v>3</v>
      </c>
    </row>
    <row r="21" spans="1:13" x14ac:dyDescent="0.25">
      <c r="A21" s="237" t="s">
        <v>398</v>
      </c>
      <c r="B21" s="156" t="s">
        <v>396</v>
      </c>
      <c r="C21" s="159" t="s">
        <v>78</v>
      </c>
      <c r="D21" s="158">
        <f>D20*0.03</f>
        <v>0.47099999999999997</v>
      </c>
      <c r="E21" s="158"/>
      <c r="F21" s="190"/>
      <c r="G21" s="280"/>
      <c r="H21" s="174"/>
      <c r="I21" s="305"/>
      <c r="J21" s="305"/>
      <c r="K21" s="326" t="s">
        <v>442</v>
      </c>
      <c r="L21" s="327">
        <v>3</v>
      </c>
      <c r="M21" s="328">
        <v>3.5</v>
      </c>
    </row>
    <row r="22" spans="1:13" x14ac:dyDescent="0.25">
      <c r="A22" s="237" t="s">
        <v>373</v>
      </c>
      <c r="B22" s="156" t="s">
        <v>474</v>
      </c>
      <c r="C22" s="159" t="s">
        <v>75</v>
      </c>
      <c r="D22" s="158">
        <f>D18*2</f>
        <v>31.4</v>
      </c>
      <c r="E22" s="158"/>
      <c r="F22" s="190"/>
      <c r="G22" s="280"/>
      <c r="H22" s="174"/>
      <c r="I22" s="305"/>
      <c r="J22" s="305"/>
      <c r="K22" s="326" t="s">
        <v>443</v>
      </c>
      <c r="L22" s="327">
        <v>2</v>
      </c>
      <c r="M22" s="328">
        <v>3.5</v>
      </c>
    </row>
    <row r="23" spans="1:13" x14ac:dyDescent="0.25">
      <c r="A23" s="237" t="s">
        <v>374</v>
      </c>
      <c r="B23" s="156" t="s">
        <v>377</v>
      </c>
      <c r="C23" s="159" t="s">
        <v>75</v>
      </c>
      <c r="D23" s="158">
        <f>D18*4</f>
        <v>62.8</v>
      </c>
      <c r="E23" s="158"/>
      <c r="F23" s="190"/>
      <c r="G23" s="280"/>
      <c r="H23" s="174"/>
      <c r="I23" s="305"/>
      <c r="J23" s="305"/>
      <c r="K23" s="326" t="s">
        <v>444</v>
      </c>
      <c r="L23" s="327">
        <v>1</v>
      </c>
      <c r="M23" s="328">
        <v>0.5</v>
      </c>
    </row>
    <row r="24" spans="1:13" ht="30.6" x14ac:dyDescent="0.25">
      <c r="A24" s="237" t="s">
        <v>375</v>
      </c>
      <c r="B24" s="156" t="s">
        <v>451</v>
      </c>
      <c r="C24" s="159" t="s">
        <v>76</v>
      </c>
      <c r="D24" s="158">
        <f>D18*2*0.01*6</f>
        <v>1.8839999999999999</v>
      </c>
      <c r="E24" s="158"/>
      <c r="F24" s="190"/>
      <c r="G24" s="280"/>
      <c r="H24" s="174"/>
      <c r="I24" s="305"/>
      <c r="J24" s="305"/>
      <c r="K24" s="326" t="s">
        <v>445</v>
      </c>
      <c r="L24" s="327">
        <v>0.5</v>
      </c>
      <c r="M24" s="328">
        <v>0</v>
      </c>
    </row>
    <row r="25" spans="1:13" x14ac:dyDescent="0.25">
      <c r="A25" s="237" t="s">
        <v>391</v>
      </c>
      <c r="B25" s="156" t="s">
        <v>82</v>
      </c>
      <c r="C25" s="159" t="s">
        <v>76</v>
      </c>
      <c r="D25" s="158">
        <f>D18*0.01</f>
        <v>0.157</v>
      </c>
      <c r="E25" s="158"/>
      <c r="F25" s="190"/>
      <c r="G25" s="280"/>
      <c r="H25" s="174"/>
      <c r="I25" s="305"/>
      <c r="J25" s="305"/>
      <c r="K25" s="326" t="s">
        <v>446</v>
      </c>
      <c r="L25" s="327">
        <v>0</v>
      </c>
      <c r="M25" s="328">
        <v>0</v>
      </c>
    </row>
    <row r="26" spans="1:13" ht="13.8" thickBot="1" x14ac:dyDescent="0.3">
      <c r="A26" s="240"/>
      <c r="B26" s="200"/>
      <c r="C26" s="201"/>
      <c r="D26" s="202"/>
      <c r="E26" s="202"/>
      <c r="F26" s="224"/>
      <c r="G26" s="280"/>
      <c r="H26" s="174"/>
      <c r="I26" s="305"/>
      <c r="J26" s="305"/>
      <c r="K26" s="356" t="s">
        <v>447</v>
      </c>
      <c r="L26" s="357">
        <v>0</v>
      </c>
      <c r="M26" s="358">
        <v>0</v>
      </c>
    </row>
    <row r="27" spans="1:13" ht="13.8" thickBot="1" x14ac:dyDescent="0.3">
      <c r="A27" s="293"/>
      <c r="B27" s="192" t="s">
        <v>416</v>
      </c>
      <c r="C27" s="193"/>
      <c r="D27" s="194"/>
      <c r="E27" s="194"/>
      <c r="F27" s="195"/>
      <c r="G27" s="320">
        <f>SUM(F27:F35)</f>
        <v>0</v>
      </c>
      <c r="H27" s="195">
        <f>G27*1.21</f>
        <v>0</v>
      </c>
      <c r="I27" s="339">
        <f>H27*3</f>
        <v>0</v>
      </c>
      <c r="J27" s="305"/>
      <c r="K27" s="359"/>
      <c r="L27" s="360">
        <f>SUM(L15:L26)</f>
        <v>12</v>
      </c>
      <c r="M27" s="361">
        <f>SUM(M15:M26)</f>
        <v>12</v>
      </c>
    </row>
    <row r="28" spans="1:13" ht="13.8" thickBot="1" x14ac:dyDescent="0.3">
      <c r="A28" s="241"/>
      <c r="B28" s="209" t="s">
        <v>392</v>
      </c>
      <c r="C28" s="205" t="s">
        <v>75</v>
      </c>
      <c r="D28" s="189">
        <f>'Položky I. etp. - zámek, hl. a'!D629</f>
        <v>88.5</v>
      </c>
      <c r="E28" s="189"/>
      <c r="F28" s="190"/>
      <c r="G28" s="280"/>
      <c r="H28" s="174"/>
      <c r="I28" s="305"/>
      <c r="J28" s="305"/>
      <c r="K28" s="329" t="s">
        <v>450</v>
      </c>
      <c r="L28" s="330"/>
      <c r="M28" s="331"/>
    </row>
    <row r="29" spans="1:13" x14ac:dyDescent="0.25">
      <c r="A29" s="237" t="s">
        <v>391</v>
      </c>
      <c r="B29" s="156" t="s">
        <v>393</v>
      </c>
      <c r="C29" s="159" t="s">
        <v>75</v>
      </c>
      <c r="D29" s="158">
        <f>D28</f>
        <v>88.5</v>
      </c>
      <c r="E29" s="158"/>
      <c r="F29" s="190"/>
      <c r="G29" s="280"/>
      <c r="H29" s="174"/>
      <c r="I29" s="305"/>
      <c r="J29" s="305"/>
    </row>
    <row r="30" spans="1:13" x14ac:dyDescent="0.25">
      <c r="A30" s="237" t="s">
        <v>362</v>
      </c>
      <c r="B30" s="156" t="s">
        <v>397</v>
      </c>
      <c r="C30" s="159" t="s">
        <v>75</v>
      </c>
      <c r="D30" s="158">
        <f>D29</f>
        <v>88.5</v>
      </c>
      <c r="E30" s="158"/>
      <c r="F30" s="190"/>
      <c r="G30" s="280"/>
      <c r="H30" s="174"/>
      <c r="I30" s="305"/>
      <c r="J30" s="305"/>
    </row>
    <row r="31" spans="1:13" x14ac:dyDescent="0.25">
      <c r="A31" s="237" t="s">
        <v>398</v>
      </c>
      <c r="B31" s="156" t="s">
        <v>396</v>
      </c>
      <c r="C31" s="159" t="s">
        <v>78</v>
      </c>
      <c r="D31" s="158">
        <f>D30*0.03</f>
        <v>2.6549999999999998</v>
      </c>
      <c r="E31" s="158"/>
      <c r="F31" s="190"/>
      <c r="G31" s="280"/>
      <c r="H31" s="174"/>
      <c r="I31" s="305"/>
      <c r="J31" s="305"/>
    </row>
    <row r="32" spans="1:13" x14ac:dyDescent="0.25">
      <c r="A32" s="237" t="s">
        <v>373</v>
      </c>
      <c r="B32" s="156" t="s">
        <v>474</v>
      </c>
      <c r="C32" s="159" t="s">
        <v>75</v>
      </c>
      <c r="D32" s="158">
        <f>D28*3</f>
        <v>265.5</v>
      </c>
      <c r="E32" s="158"/>
      <c r="F32" s="190"/>
      <c r="G32" s="280"/>
      <c r="H32" s="174"/>
      <c r="I32" s="305"/>
      <c r="J32" s="305"/>
    </row>
    <row r="33" spans="1:10" x14ac:dyDescent="0.25">
      <c r="A33" s="237" t="s">
        <v>374</v>
      </c>
      <c r="B33" s="156" t="s">
        <v>377</v>
      </c>
      <c r="C33" s="159" t="s">
        <v>75</v>
      </c>
      <c r="D33" s="158">
        <f>D28*4</f>
        <v>354</v>
      </c>
      <c r="E33" s="158"/>
      <c r="F33" s="190"/>
      <c r="G33" s="280"/>
      <c r="H33" s="174"/>
      <c r="I33" s="305"/>
      <c r="J33" s="305"/>
    </row>
    <row r="34" spans="1:10" ht="30.6" x14ac:dyDescent="0.25">
      <c r="A34" s="237" t="s">
        <v>375</v>
      </c>
      <c r="B34" s="156" t="s">
        <v>451</v>
      </c>
      <c r="C34" s="159" t="s">
        <v>76</v>
      </c>
      <c r="D34" s="158">
        <f>D28*2*0.01*6</f>
        <v>10.620000000000001</v>
      </c>
      <c r="E34" s="158"/>
      <c r="F34" s="190"/>
      <c r="G34" s="280"/>
      <c r="H34" s="174"/>
      <c r="I34" s="305"/>
      <c r="J34" s="305"/>
    </row>
    <row r="35" spans="1:10" x14ac:dyDescent="0.25">
      <c r="A35" s="237" t="s">
        <v>391</v>
      </c>
      <c r="B35" s="156" t="s">
        <v>82</v>
      </c>
      <c r="C35" s="159" t="s">
        <v>76</v>
      </c>
      <c r="D35" s="158">
        <f>D28*0.01</f>
        <v>0.88500000000000001</v>
      </c>
      <c r="E35" s="158"/>
      <c r="F35" s="190"/>
      <c r="G35" s="280"/>
      <c r="H35" s="174"/>
      <c r="I35" s="305"/>
      <c r="J35" s="305"/>
    </row>
    <row r="36" spans="1:10" ht="13.8" thickBot="1" x14ac:dyDescent="0.3">
      <c r="A36" s="240"/>
      <c r="B36" s="200"/>
      <c r="C36" s="201"/>
      <c r="D36" s="202"/>
      <c r="E36" s="202"/>
      <c r="F36" s="224"/>
      <c r="G36" s="280"/>
      <c r="H36" s="174"/>
      <c r="I36" s="305"/>
      <c r="J36" s="305"/>
    </row>
    <row r="37" spans="1:10" ht="13.8" thickBot="1" x14ac:dyDescent="0.3">
      <c r="A37" s="293"/>
      <c r="B37" s="192" t="str">
        <f>'Položky I. etp. - zámek, hl. a'!B630</f>
        <v>TZ 06.01,02</v>
      </c>
      <c r="C37" s="193"/>
      <c r="D37" s="194"/>
      <c r="E37" s="194"/>
      <c r="F37" s="195"/>
      <c r="G37" s="320">
        <f>SUM(F37:F45)</f>
        <v>0</v>
      </c>
      <c r="H37" s="195">
        <f>G37*1.21</f>
        <v>0</v>
      </c>
      <c r="I37" s="339">
        <f>H37*3</f>
        <v>0</v>
      </c>
      <c r="J37" s="305"/>
    </row>
    <row r="38" spans="1:10" x14ac:dyDescent="0.25">
      <c r="A38" s="241"/>
      <c r="B38" s="209" t="s">
        <v>392</v>
      </c>
      <c r="C38" s="205" t="s">
        <v>75</v>
      </c>
      <c r="D38" s="189">
        <f>'Položky I. etp. - zámek, hl. a'!D630</f>
        <v>29.7</v>
      </c>
      <c r="E38" s="189"/>
      <c r="F38" s="190"/>
      <c r="G38" s="280"/>
      <c r="H38" s="174"/>
      <c r="I38" s="305"/>
      <c r="J38" s="305"/>
    </row>
    <row r="39" spans="1:10" x14ac:dyDescent="0.25">
      <c r="A39" s="237" t="s">
        <v>391</v>
      </c>
      <c r="B39" s="156" t="s">
        <v>393</v>
      </c>
      <c r="C39" s="159" t="s">
        <v>75</v>
      </c>
      <c r="D39" s="158">
        <f>D38</f>
        <v>29.7</v>
      </c>
      <c r="E39" s="158"/>
      <c r="F39" s="190"/>
      <c r="G39" s="280"/>
      <c r="H39" s="174"/>
      <c r="I39" s="305"/>
      <c r="J39" s="305"/>
    </row>
    <row r="40" spans="1:10" x14ac:dyDescent="0.25">
      <c r="A40" s="237" t="s">
        <v>362</v>
      </c>
      <c r="B40" s="156" t="s">
        <v>397</v>
      </c>
      <c r="C40" s="159" t="s">
        <v>75</v>
      </c>
      <c r="D40" s="158">
        <f>D39</f>
        <v>29.7</v>
      </c>
      <c r="E40" s="158"/>
      <c r="F40" s="190"/>
      <c r="G40" s="280"/>
      <c r="H40" s="174"/>
      <c r="I40" s="305"/>
      <c r="J40" s="305"/>
    </row>
    <row r="41" spans="1:10" x14ac:dyDescent="0.25">
      <c r="A41" s="237" t="s">
        <v>398</v>
      </c>
      <c r="B41" s="156" t="s">
        <v>396</v>
      </c>
      <c r="C41" s="159" t="s">
        <v>78</v>
      </c>
      <c r="D41" s="158">
        <f>D40*0.03</f>
        <v>0.8909999999999999</v>
      </c>
      <c r="E41" s="158"/>
      <c r="F41" s="190"/>
      <c r="G41" s="280"/>
      <c r="H41" s="174"/>
      <c r="I41" s="305"/>
      <c r="J41" s="305"/>
    </row>
    <row r="42" spans="1:10" x14ac:dyDescent="0.25">
      <c r="A42" s="237" t="s">
        <v>373</v>
      </c>
      <c r="B42" s="156" t="s">
        <v>376</v>
      </c>
      <c r="C42" s="159" t="s">
        <v>75</v>
      </c>
      <c r="D42" s="158">
        <f>D38*2</f>
        <v>59.4</v>
      </c>
      <c r="E42" s="158"/>
      <c r="F42" s="190"/>
      <c r="G42" s="280"/>
      <c r="H42" s="174"/>
      <c r="I42" s="305"/>
      <c r="J42" s="305"/>
    </row>
    <row r="43" spans="1:10" x14ac:dyDescent="0.25">
      <c r="A43" s="237" t="s">
        <v>374</v>
      </c>
      <c r="B43" s="156" t="s">
        <v>377</v>
      </c>
      <c r="C43" s="159" t="s">
        <v>75</v>
      </c>
      <c r="D43" s="158">
        <f>D38*4</f>
        <v>118.8</v>
      </c>
      <c r="E43" s="158"/>
      <c r="F43" s="190"/>
      <c r="G43" s="280"/>
      <c r="H43" s="174"/>
      <c r="I43" s="305"/>
      <c r="J43" s="305"/>
    </row>
    <row r="44" spans="1:10" ht="30.6" x14ac:dyDescent="0.25">
      <c r="A44" s="237" t="s">
        <v>375</v>
      </c>
      <c r="B44" s="156" t="s">
        <v>451</v>
      </c>
      <c r="C44" s="159" t="s">
        <v>76</v>
      </c>
      <c r="D44" s="158">
        <f>D38*2*0.01*6</f>
        <v>3.5640000000000001</v>
      </c>
      <c r="E44" s="158"/>
      <c r="F44" s="190"/>
      <c r="G44" s="280"/>
      <c r="H44" s="174"/>
      <c r="I44" s="305"/>
      <c r="J44" s="305"/>
    </row>
    <row r="45" spans="1:10" x14ac:dyDescent="0.25">
      <c r="A45" s="237" t="s">
        <v>391</v>
      </c>
      <c r="B45" s="156" t="s">
        <v>82</v>
      </c>
      <c r="C45" s="159" t="s">
        <v>76</v>
      </c>
      <c r="D45" s="158">
        <f>D38*0.01</f>
        <v>0.29699999999999999</v>
      </c>
      <c r="E45" s="158"/>
      <c r="F45" s="190"/>
      <c r="G45" s="280"/>
      <c r="H45" s="174"/>
      <c r="I45" s="305"/>
      <c r="J45" s="305"/>
    </row>
    <row r="46" spans="1:10" ht="13.8" thickBot="1" x14ac:dyDescent="0.3">
      <c r="A46" s="240"/>
      <c r="B46" s="200"/>
      <c r="C46" s="201"/>
      <c r="D46" s="202"/>
      <c r="E46" s="202"/>
      <c r="F46" s="224"/>
      <c r="G46" s="280"/>
      <c r="H46" s="174"/>
      <c r="I46" s="305"/>
      <c r="J46" s="305"/>
    </row>
    <row r="47" spans="1:10" ht="41.4" thickBot="1" x14ac:dyDescent="0.3">
      <c r="A47" s="307" t="s">
        <v>66</v>
      </c>
      <c r="B47" s="308" t="s">
        <v>67</v>
      </c>
      <c r="C47" s="309" t="s">
        <v>68</v>
      </c>
      <c r="D47" s="310" t="s">
        <v>69</v>
      </c>
      <c r="E47" s="310"/>
      <c r="F47" s="311"/>
      <c r="G47" s="337" t="s">
        <v>458</v>
      </c>
      <c r="H47" s="297" t="s">
        <v>459</v>
      </c>
      <c r="I47" s="312" t="s">
        <v>460</v>
      </c>
      <c r="J47" s="305"/>
    </row>
    <row r="48" spans="1:10" ht="13.8" thickBot="1" x14ac:dyDescent="0.3">
      <c r="A48" s="293"/>
      <c r="B48" s="192" t="str">
        <f>'Položky I. etp. - zámek, hl. a'!B631</f>
        <v>TZ 07</v>
      </c>
      <c r="C48" s="193"/>
      <c r="D48" s="194"/>
      <c r="E48" s="194"/>
      <c r="F48" s="195"/>
      <c r="G48" s="320">
        <f>SUM(F48:F56)</f>
        <v>0</v>
      </c>
      <c r="H48" s="195">
        <f>G48*1.21</f>
        <v>0</v>
      </c>
      <c r="I48" s="339">
        <f>H48*3</f>
        <v>0</v>
      </c>
      <c r="J48" s="305"/>
    </row>
    <row r="49" spans="1:10" x14ac:dyDescent="0.25">
      <c r="A49" s="241"/>
      <c r="B49" s="209" t="s">
        <v>392</v>
      </c>
      <c r="C49" s="205" t="s">
        <v>75</v>
      </c>
      <c r="D49" s="189">
        <f>'Položky I. etp. - zámek, hl. a'!D631</f>
        <v>47.7</v>
      </c>
      <c r="E49" s="189"/>
      <c r="F49" s="190"/>
      <c r="G49" s="280"/>
      <c r="H49" s="174"/>
      <c r="I49" s="305"/>
      <c r="J49" s="305"/>
    </row>
    <row r="50" spans="1:10" x14ac:dyDescent="0.25">
      <c r="A50" s="237" t="s">
        <v>391</v>
      </c>
      <c r="B50" s="156" t="s">
        <v>393</v>
      </c>
      <c r="C50" s="159" t="s">
        <v>75</v>
      </c>
      <c r="D50" s="158">
        <f>D49</f>
        <v>47.7</v>
      </c>
      <c r="E50" s="158"/>
      <c r="F50" s="190"/>
      <c r="G50" s="280"/>
      <c r="H50" s="174"/>
      <c r="I50" s="305"/>
      <c r="J50" s="305"/>
    </row>
    <row r="51" spans="1:10" x14ac:dyDescent="0.25">
      <c r="A51" s="237" t="s">
        <v>362</v>
      </c>
      <c r="B51" s="156" t="s">
        <v>397</v>
      </c>
      <c r="C51" s="159" t="s">
        <v>75</v>
      </c>
      <c r="D51" s="158">
        <f>D50</f>
        <v>47.7</v>
      </c>
      <c r="E51" s="158"/>
      <c r="F51" s="190"/>
      <c r="G51" s="280"/>
      <c r="H51" s="174"/>
      <c r="I51" s="305"/>
      <c r="J51" s="305"/>
    </row>
    <row r="52" spans="1:10" x14ac:dyDescent="0.25">
      <c r="A52" s="237" t="s">
        <v>398</v>
      </c>
      <c r="B52" s="156" t="s">
        <v>396</v>
      </c>
      <c r="C52" s="159" t="s">
        <v>78</v>
      </c>
      <c r="D52" s="158">
        <f>D51*0.03</f>
        <v>1.431</v>
      </c>
      <c r="E52" s="158"/>
      <c r="F52" s="190"/>
      <c r="G52" s="280"/>
      <c r="H52" s="174"/>
      <c r="I52" s="305"/>
      <c r="J52" s="305"/>
    </row>
    <row r="53" spans="1:10" x14ac:dyDescent="0.25">
      <c r="A53" s="237" t="s">
        <v>373</v>
      </c>
      <c r="B53" s="156" t="s">
        <v>474</v>
      </c>
      <c r="C53" s="159" t="s">
        <v>75</v>
      </c>
      <c r="D53" s="158">
        <f>D49*2</f>
        <v>95.4</v>
      </c>
      <c r="E53" s="158"/>
      <c r="F53" s="190"/>
      <c r="G53" s="280"/>
      <c r="H53" s="174"/>
      <c r="I53" s="305"/>
      <c r="J53" s="305"/>
    </row>
    <row r="54" spans="1:10" x14ac:dyDescent="0.25">
      <c r="A54" s="237" t="s">
        <v>374</v>
      </c>
      <c r="B54" s="156" t="s">
        <v>377</v>
      </c>
      <c r="C54" s="159" t="s">
        <v>75</v>
      </c>
      <c r="D54" s="158">
        <f>D49*4</f>
        <v>190.8</v>
      </c>
      <c r="E54" s="158"/>
      <c r="F54" s="190"/>
      <c r="G54" s="280"/>
      <c r="H54" s="174"/>
      <c r="I54" s="305"/>
      <c r="J54" s="305"/>
    </row>
    <row r="55" spans="1:10" ht="30.6" x14ac:dyDescent="0.25">
      <c r="A55" s="237" t="s">
        <v>375</v>
      </c>
      <c r="B55" s="156" t="s">
        <v>451</v>
      </c>
      <c r="C55" s="159" t="s">
        <v>76</v>
      </c>
      <c r="D55" s="158">
        <f>D49*2*0.01*6</f>
        <v>5.7240000000000002</v>
      </c>
      <c r="E55" s="158"/>
      <c r="F55" s="190"/>
      <c r="G55" s="280"/>
      <c r="H55" s="174"/>
      <c r="I55" s="305"/>
      <c r="J55" s="305"/>
    </row>
    <row r="56" spans="1:10" x14ac:dyDescent="0.25">
      <c r="A56" s="237" t="s">
        <v>391</v>
      </c>
      <c r="B56" s="156" t="s">
        <v>82</v>
      </c>
      <c r="C56" s="159" t="s">
        <v>76</v>
      </c>
      <c r="D56" s="158">
        <f>D49*0.01</f>
        <v>0.47700000000000004</v>
      </c>
      <c r="E56" s="158"/>
      <c r="F56" s="190"/>
      <c r="G56" s="280"/>
      <c r="H56" s="174"/>
      <c r="I56" s="305"/>
      <c r="J56" s="305"/>
    </row>
    <row r="57" spans="1:10" x14ac:dyDescent="0.25">
      <c r="A57" s="237"/>
      <c r="B57" s="156"/>
      <c r="C57" s="159"/>
      <c r="D57" s="158"/>
      <c r="E57" s="158"/>
      <c r="F57" s="190"/>
      <c r="G57" s="280"/>
      <c r="H57" s="174"/>
      <c r="I57" s="305"/>
      <c r="J57" s="305"/>
    </row>
    <row r="58" spans="1:10" x14ac:dyDescent="0.25">
      <c r="A58" s="237"/>
      <c r="B58" s="156"/>
      <c r="C58" s="159"/>
      <c r="D58" s="158"/>
      <c r="E58" s="158"/>
      <c r="F58" s="190"/>
      <c r="G58" s="280"/>
      <c r="H58" s="174"/>
      <c r="I58" s="305"/>
      <c r="J58" s="305"/>
    </row>
    <row r="59" spans="1:10" ht="13.8" thickBot="1" x14ac:dyDescent="0.3">
      <c r="A59" s="240"/>
      <c r="B59" s="200"/>
      <c r="C59" s="201"/>
      <c r="D59" s="202"/>
      <c r="E59" s="202"/>
      <c r="F59" s="224"/>
      <c r="G59" s="280"/>
      <c r="H59" s="174"/>
      <c r="I59" s="305"/>
      <c r="J59" s="305"/>
    </row>
    <row r="60" spans="1:10" x14ac:dyDescent="0.25">
      <c r="A60" s="302"/>
      <c r="B60" s="298" t="s">
        <v>424</v>
      </c>
      <c r="C60" s="299"/>
      <c r="D60" s="214"/>
      <c r="E60" s="214"/>
      <c r="F60" s="215"/>
      <c r="G60" s="280"/>
      <c r="H60" s="174"/>
      <c r="I60" s="305"/>
      <c r="J60" s="305"/>
    </row>
    <row r="61" spans="1:10" ht="13.8" thickBot="1" x14ac:dyDescent="0.3">
      <c r="A61" s="303"/>
      <c r="B61" s="300" t="s">
        <v>387</v>
      </c>
      <c r="C61" s="301" t="s">
        <v>75</v>
      </c>
      <c r="D61" s="217">
        <v>694</v>
      </c>
      <c r="E61" s="217"/>
      <c r="F61" s="289"/>
      <c r="G61" s="280"/>
      <c r="H61" s="174"/>
      <c r="I61" s="305"/>
      <c r="J61" s="305"/>
    </row>
    <row r="62" spans="1:10" ht="31.2" thickBot="1" x14ac:dyDescent="0.3">
      <c r="A62" s="291" t="s">
        <v>98</v>
      </c>
      <c r="B62" s="297" t="s">
        <v>452</v>
      </c>
      <c r="C62" s="207" t="s">
        <v>76</v>
      </c>
      <c r="D62" s="194">
        <f>D61*0.01*2.5*6</f>
        <v>104.10000000000001</v>
      </c>
      <c r="E62" s="194"/>
      <c r="F62" s="195"/>
      <c r="G62" s="320">
        <f>SUM(F62:F71)</f>
        <v>0</v>
      </c>
      <c r="H62" s="195">
        <f>G62*1.21</f>
        <v>0</v>
      </c>
      <c r="I62" s="339">
        <f>H62*3</f>
        <v>0</v>
      </c>
      <c r="J62" s="305"/>
    </row>
    <row r="63" spans="1:10" x14ac:dyDescent="0.25">
      <c r="A63" s="241" t="s">
        <v>365</v>
      </c>
      <c r="B63" s="209" t="s">
        <v>473</v>
      </c>
      <c r="C63" s="205" t="s">
        <v>75</v>
      </c>
      <c r="D63" s="189">
        <f>D61*24</f>
        <v>16656</v>
      </c>
      <c r="E63" s="189"/>
      <c r="F63" s="190"/>
      <c r="G63" s="280"/>
      <c r="H63" s="174"/>
      <c r="I63" s="305"/>
      <c r="J63" s="305"/>
    </row>
    <row r="64" spans="1:10" x14ac:dyDescent="0.25">
      <c r="A64" s="237" t="s">
        <v>368</v>
      </c>
      <c r="B64" s="156" t="s">
        <v>364</v>
      </c>
      <c r="C64" s="159" t="s">
        <v>75</v>
      </c>
      <c r="D64" s="158">
        <f>D61*2*2</f>
        <v>2776</v>
      </c>
      <c r="E64" s="158"/>
      <c r="F64" s="190"/>
      <c r="G64" s="280"/>
      <c r="H64" s="174"/>
      <c r="I64" s="305"/>
      <c r="J64" s="305"/>
    </row>
    <row r="65" spans="1:10" x14ac:dyDescent="0.25">
      <c r="A65" s="237" t="s">
        <v>367</v>
      </c>
      <c r="B65" s="156" t="s">
        <v>372</v>
      </c>
      <c r="C65" s="159" t="s">
        <v>75</v>
      </c>
      <c r="D65" s="158">
        <f>D61</f>
        <v>694</v>
      </c>
      <c r="E65" s="158"/>
      <c r="F65" s="190"/>
      <c r="G65" s="280"/>
      <c r="H65" s="174"/>
      <c r="I65" s="305"/>
      <c r="J65" s="305"/>
    </row>
    <row r="66" spans="1:10" x14ac:dyDescent="0.25">
      <c r="A66" s="237" t="s">
        <v>363</v>
      </c>
      <c r="B66" s="156" t="s">
        <v>366</v>
      </c>
      <c r="C66" s="159" t="s">
        <v>76</v>
      </c>
      <c r="D66" s="158">
        <f>D61*0.002</f>
        <v>1.3880000000000001</v>
      </c>
      <c r="E66" s="158"/>
      <c r="F66" s="190"/>
      <c r="G66" s="280"/>
      <c r="H66" s="174"/>
      <c r="I66" s="305"/>
      <c r="J66" s="305"/>
    </row>
    <row r="67" spans="1:10" x14ac:dyDescent="0.25">
      <c r="A67" s="237" t="s">
        <v>362</v>
      </c>
      <c r="B67" s="156" t="s">
        <v>360</v>
      </c>
      <c r="C67" s="159" t="s">
        <v>75</v>
      </c>
      <c r="D67" s="158">
        <f>D61*4</f>
        <v>2776</v>
      </c>
      <c r="E67" s="158"/>
      <c r="F67" s="190"/>
      <c r="G67" s="280"/>
      <c r="H67" s="174"/>
      <c r="I67" s="305"/>
      <c r="J67" s="305"/>
    </row>
    <row r="68" spans="1:10" x14ac:dyDescent="0.25">
      <c r="A68" s="237" t="s">
        <v>363</v>
      </c>
      <c r="B68" s="156" t="s">
        <v>361</v>
      </c>
      <c r="C68" s="159" t="s">
        <v>78</v>
      </c>
      <c r="D68" s="158">
        <f>D64*0.03</f>
        <v>83.28</v>
      </c>
      <c r="E68" s="158"/>
      <c r="F68" s="190"/>
      <c r="G68" s="280"/>
      <c r="H68" s="174"/>
      <c r="I68" s="305"/>
      <c r="J68" s="305"/>
    </row>
    <row r="69" spans="1:10" x14ac:dyDescent="0.25">
      <c r="A69" s="237" t="s">
        <v>391</v>
      </c>
      <c r="B69" s="156" t="s">
        <v>399</v>
      </c>
      <c r="C69" s="159" t="s">
        <v>76</v>
      </c>
      <c r="D69" s="158">
        <f>D63*0.0005</f>
        <v>8.3279999999999994</v>
      </c>
      <c r="E69" s="158"/>
      <c r="F69" s="190"/>
      <c r="G69" s="280"/>
      <c r="H69" s="174"/>
      <c r="I69" s="305"/>
      <c r="J69" s="305"/>
    </row>
    <row r="70" spans="1:10" x14ac:dyDescent="0.25">
      <c r="A70" s="237" t="s">
        <v>401</v>
      </c>
      <c r="B70" s="156" t="s">
        <v>400</v>
      </c>
      <c r="C70" s="159" t="s">
        <v>75</v>
      </c>
      <c r="D70" s="158">
        <f>D61</f>
        <v>694</v>
      </c>
      <c r="E70" s="158"/>
      <c r="F70" s="190"/>
      <c r="G70" s="280"/>
      <c r="H70" s="174"/>
      <c r="I70" s="305"/>
      <c r="J70" s="305"/>
    </row>
    <row r="71" spans="1:10" ht="13.8" thickBot="1" x14ac:dyDescent="0.3">
      <c r="A71" s="240" t="s">
        <v>371</v>
      </c>
      <c r="B71" s="200" t="s">
        <v>370</v>
      </c>
      <c r="C71" s="201" t="s">
        <v>75</v>
      </c>
      <c r="D71" s="202">
        <f>D61*3</f>
        <v>2082</v>
      </c>
      <c r="E71" s="202"/>
      <c r="F71" s="224"/>
      <c r="G71" s="280"/>
      <c r="H71" s="174"/>
      <c r="I71" s="305"/>
      <c r="J71" s="305"/>
    </row>
    <row r="72" spans="1:10" ht="13.8" thickBot="1" x14ac:dyDescent="0.3">
      <c r="A72" s="291"/>
      <c r="B72" s="206" t="s">
        <v>425</v>
      </c>
      <c r="C72" s="207"/>
      <c r="D72" s="194"/>
      <c r="E72" s="194"/>
      <c r="F72" s="195"/>
      <c r="G72" s="320">
        <f>SUM(F72:F75)</f>
        <v>0</v>
      </c>
      <c r="H72" s="195">
        <f>G72*1.21</f>
        <v>0</v>
      </c>
      <c r="I72" s="339">
        <f>H72*3</f>
        <v>0</v>
      </c>
      <c r="J72" s="305"/>
    </row>
    <row r="73" spans="1:10" ht="20.399999999999999" x14ac:dyDescent="0.25">
      <c r="A73" s="241" t="s">
        <v>98</v>
      </c>
      <c r="B73" s="209" t="s">
        <v>426</v>
      </c>
      <c r="C73" s="205" t="s">
        <v>76</v>
      </c>
      <c r="D73" s="189">
        <f>1*0.2*6*3</f>
        <v>3.6000000000000005</v>
      </c>
      <c r="E73" s="189"/>
      <c r="F73" s="190"/>
      <c r="G73" s="187"/>
      <c r="H73" s="174"/>
      <c r="I73" s="305"/>
      <c r="J73" s="305"/>
    </row>
    <row r="74" spans="1:10" ht="20.399999999999999" x14ac:dyDescent="0.25">
      <c r="A74" s="237" t="s">
        <v>330</v>
      </c>
      <c r="B74" s="156" t="s">
        <v>331</v>
      </c>
      <c r="C74" s="159" t="s">
        <v>72</v>
      </c>
      <c r="D74" s="158">
        <v>1</v>
      </c>
      <c r="E74" s="158"/>
      <c r="F74" s="185"/>
      <c r="G74" s="187"/>
      <c r="H74" s="174"/>
      <c r="I74" s="305"/>
      <c r="J74" s="305"/>
    </row>
    <row r="75" spans="1:10" ht="20.399999999999999" x14ac:dyDescent="0.25">
      <c r="A75" s="237" t="s">
        <v>391</v>
      </c>
      <c r="B75" s="156" t="s">
        <v>427</v>
      </c>
      <c r="C75" s="159"/>
      <c r="D75" s="158">
        <v>1</v>
      </c>
      <c r="E75" s="158"/>
      <c r="F75" s="185"/>
      <c r="G75" s="187"/>
      <c r="H75" s="174"/>
      <c r="I75" s="305"/>
      <c r="J75" s="305"/>
    </row>
    <row r="76" spans="1:10" x14ac:dyDescent="0.25">
      <c r="A76" s="304"/>
      <c r="B76" s="226"/>
      <c r="C76" s="227"/>
      <c r="D76" s="211"/>
      <c r="E76" s="211"/>
      <c r="F76" s="187"/>
      <c r="G76" s="280"/>
      <c r="H76" s="174"/>
      <c r="I76" s="305"/>
      <c r="J76" s="305"/>
    </row>
    <row r="77" spans="1:10" ht="13.8" thickBot="1" x14ac:dyDescent="0.3">
      <c r="A77" s="304"/>
      <c r="B77" s="226"/>
      <c r="C77" s="227"/>
      <c r="D77" s="211"/>
      <c r="E77" s="211"/>
      <c r="F77" s="187"/>
      <c r="G77" s="280"/>
      <c r="H77" s="174"/>
      <c r="I77" s="305"/>
      <c r="J77" s="305"/>
    </row>
    <row r="78" spans="1:10" x14ac:dyDescent="0.25">
      <c r="A78" s="304"/>
      <c r="B78" s="226"/>
      <c r="C78" s="227"/>
      <c r="D78" s="333"/>
      <c r="E78" s="334"/>
      <c r="F78" s="335" t="s">
        <v>388</v>
      </c>
      <c r="G78" s="340">
        <f>SUM(G1:G75)</f>
        <v>0</v>
      </c>
      <c r="H78" s="341">
        <f>SUM(H1:H75)</f>
        <v>0</v>
      </c>
      <c r="I78" s="342">
        <f>SUM(I1:I75)</f>
        <v>0</v>
      </c>
    </row>
    <row r="79" spans="1:10" x14ac:dyDescent="0.25">
      <c r="A79" s="343"/>
      <c r="D79" s="344"/>
      <c r="E79" s="345"/>
      <c r="F79" s="332" t="s">
        <v>389</v>
      </c>
      <c r="G79" s="346">
        <f>G78</f>
        <v>0</v>
      </c>
      <c r="H79" s="186">
        <f>H78</f>
        <v>0</v>
      </c>
      <c r="I79" s="347"/>
    </row>
    <row r="80" spans="1:10" x14ac:dyDescent="0.25">
      <c r="A80" s="343"/>
      <c r="D80" s="344"/>
      <c r="E80" s="345"/>
      <c r="F80" s="332" t="s">
        <v>390</v>
      </c>
      <c r="G80" s="346">
        <f>G79</f>
        <v>0</v>
      </c>
      <c r="H80" s="186">
        <f>H78</f>
        <v>0</v>
      </c>
      <c r="I80" s="347"/>
    </row>
    <row r="81" spans="4:9" x14ac:dyDescent="0.25">
      <c r="D81" s="344"/>
      <c r="E81" s="345"/>
      <c r="F81" s="332" t="s">
        <v>381</v>
      </c>
      <c r="G81" s="346">
        <f>SUM(G78:G80)</f>
        <v>0</v>
      </c>
      <c r="H81" s="280"/>
      <c r="I81" s="347"/>
    </row>
    <row r="82" spans="4:9" x14ac:dyDescent="0.25">
      <c r="D82" s="344"/>
      <c r="E82" s="345"/>
      <c r="F82" s="332" t="s">
        <v>382</v>
      </c>
      <c r="G82" s="349">
        <f>H83-G81</f>
        <v>0</v>
      </c>
      <c r="H82" s="280"/>
      <c r="I82" s="347"/>
    </row>
    <row r="83" spans="4:9" ht="13.8" thickBot="1" x14ac:dyDescent="0.3">
      <c r="D83" s="350"/>
      <c r="E83" s="351"/>
      <c r="F83" s="336" t="s">
        <v>431</v>
      </c>
      <c r="G83" s="352">
        <f>G81*1.21</f>
        <v>0</v>
      </c>
      <c r="H83" s="353">
        <f>SUM(H78:H81)</f>
        <v>0</v>
      </c>
      <c r="I83" s="354"/>
    </row>
  </sheetData>
  <pageMargins left="0.70866141732283472" right="0" top="0.74803149606299213" bottom="0.74803149606299213" header="0.31496062992125984" footer="0.31496062992125984"/>
  <pageSetup paperSize="9" orientation="portrait" r:id="rId1"/>
  <headerFooter>
    <oddHeader>&amp;L&amp;F
&amp;A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>
      <selection activeCell="D25" sqref="D25"/>
    </sheetView>
  </sheetViews>
  <sheetFormatPr defaultRowHeight="14.55" customHeight="1" x14ac:dyDescent="0.2"/>
  <cols>
    <col min="1" max="1" width="45.77734375" style="422" customWidth="1"/>
    <col min="2" max="2" width="8.88671875" style="422"/>
    <col min="3" max="3" width="8.88671875" style="423"/>
    <col min="4" max="7" width="8.88671875" style="422"/>
    <col min="8" max="8" width="8.88671875" style="422" customWidth="1"/>
    <col min="9" max="256" width="8.88671875" style="422"/>
    <col min="257" max="257" width="45.77734375" style="422" customWidth="1"/>
    <col min="258" max="263" width="8.88671875" style="422"/>
    <col min="264" max="264" width="8.88671875" style="422" customWidth="1"/>
    <col min="265" max="512" width="8.88671875" style="422"/>
    <col min="513" max="513" width="45.77734375" style="422" customWidth="1"/>
    <col min="514" max="519" width="8.88671875" style="422"/>
    <col min="520" max="520" width="8.88671875" style="422" customWidth="1"/>
    <col min="521" max="768" width="8.88671875" style="422"/>
    <col min="769" max="769" width="45.77734375" style="422" customWidth="1"/>
    <col min="770" max="775" width="8.88671875" style="422"/>
    <col min="776" max="776" width="8.88671875" style="422" customWidth="1"/>
    <col min="777" max="1024" width="8.88671875" style="422"/>
    <col min="1025" max="1025" width="45.77734375" style="422" customWidth="1"/>
    <col min="1026" max="1031" width="8.88671875" style="422"/>
    <col min="1032" max="1032" width="8.88671875" style="422" customWidth="1"/>
    <col min="1033" max="1280" width="8.88671875" style="422"/>
    <col min="1281" max="1281" width="45.77734375" style="422" customWidth="1"/>
    <col min="1282" max="1287" width="8.88671875" style="422"/>
    <col min="1288" max="1288" width="8.88671875" style="422" customWidth="1"/>
    <col min="1289" max="1536" width="8.88671875" style="422"/>
    <col min="1537" max="1537" width="45.77734375" style="422" customWidth="1"/>
    <col min="1538" max="1543" width="8.88671875" style="422"/>
    <col min="1544" max="1544" width="8.88671875" style="422" customWidth="1"/>
    <col min="1545" max="1792" width="8.88671875" style="422"/>
    <col min="1793" max="1793" width="45.77734375" style="422" customWidth="1"/>
    <col min="1794" max="1799" width="8.88671875" style="422"/>
    <col min="1800" max="1800" width="8.88671875" style="422" customWidth="1"/>
    <col min="1801" max="2048" width="8.88671875" style="422"/>
    <col min="2049" max="2049" width="45.77734375" style="422" customWidth="1"/>
    <col min="2050" max="2055" width="8.88671875" style="422"/>
    <col min="2056" max="2056" width="8.88671875" style="422" customWidth="1"/>
    <col min="2057" max="2304" width="8.88671875" style="422"/>
    <col min="2305" max="2305" width="45.77734375" style="422" customWidth="1"/>
    <col min="2306" max="2311" width="8.88671875" style="422"/>
    <col min="2312" max="2312" width="8.88671875" style="422" customWidth="1"/>
    <col min="2313" max="2560" width="8.88671875" style="422"/>
    <col min="2561" max="2561" width="45.77734375" style="422" customWidth="1"/>
    <col min="2562" max="2567" width="8.88671875" style="422"/>
    <col min="2568" max="2568" width="8.88671875" style="422" customWidth="1"/>
    <col min="2569" max="2816" width="8.88671875" style="422"/>
    <col min="2817" max="2817" width="45.77734375" style="422" customWidth="1"/>
    <col min="2818" max="2823" width="8.88671875" style="422"/>
    <col min="2824" max="2824" width="8.88671875" style="422" customWidth="1"/>
    <col min="2825" max="3072" width="8.88671875" style="422"/>
    <col min="3073" max="3073" width="45.77734375" style="422" customWidth="1"/>
    <col min="3074" max="3079" width="8.88671875" style="422"/>
    <col min="3080" max="3080" width="8.88671875" style="422" customWidth="1"/>
    <col min="3081" max="3328" width="8.88671875" style="422"/>
    <col min="3329" max="3329" width="45.77734375" style="422" customWidth="1"/>
    <col min="3330" max="3335" width="8.88671875" style="422"/>
    <col min="3336" max="3336" width="8.88671875" style="422" customWidth="1"/>
    <col min="3337" max="3584" width="8.88671875" style="422"/>
    <col min="3585" max="3585" width="45.77734375" style="422" customWidth="1"/>
    <col min="3586" max="3591" width="8.88671875" style="422"/>
    <col min="3592" max="3592" width="8.88671875" style="422" customWidth="1"/>
    <col min="3593" max="3840" width="8.88671875" style="422"/>
    <col min="3841" max="3841" width="45.77734375" style="422" customWidth="1"/>
    <col min="3842" max="3847" width="8.88671875" style="422"/>
    <col min="3848" max="3848" width="8.88671875" style="422" customWidth="1"/>
    <col min="3849" max="4096" width="8.88671875" style="422"/>
    <col min="4097" max="4097" width="45.77734375" style="422" customWidth="1"/>
    <col min="4098" max="4103" width="8.88671875" style="422"/>
    <col min="4104" max="4104" width="8.88671875" style="422" customWidth="1"/>
    <col min="4105" max="4352" width="8.88671875" style="422"/>
    <col min="4353" max="4353" width="45.77734375" style="422" customWidth="1"/>
    <col min="4354" max="4359" width="8.88671875" style="422"/>
    <col min="4360" max="4360" width="8.88671875" style="422" customWidth="1"/>
    <col min="4361" max="4608" width="8.88671875" style="422"/>
    <col min="4609" max="4609" width="45.77734375" style="422" customWidth="1"/>
    <col min="4610" max="4615" width="8.88671875" style="422"/>
    <col min="4616" max="4616" width="8.88671875" style="422" customWidth="1"/>
    <col min="4617" max="4864" width="8.88671875" style="422"/>
    <col min="4865" max="4865" width="45.77734375" style="422" customWidth="1"/>
    <col min="4866" max="4871" width="8.88671875" style="422"/>
    <col min="4872" max="4872" width="8.88671875" style="422" customWidth="1"/>
    <col min="4873" max="5120" width="8.88671875" style="422"/>
    <col min="5121" max="5121" width="45.77734375" style="422" customWidth="1"/>
    <col min="5122" max="5127" width="8.88671875" style="422"/>
    <col min="5128" max="5128" width="8.88671875" style="422" customWidth="1"/>
    <col min="5129" max="5376" width="8.88671875" style="422"/>
    <col min="5377" max="5377" width="45.77734375" style="422" customWidth="1"/>
    <col min="5378" max="5383" width="8.88671875" style="422"/>
    <col min="5384" max="5384" width="8.88671875" style="422" customWidth="1"/>
    <col min="5385" max="5632" width="8.88671875" style="422"/>
    <col min="5633" max="5633" width="45.77734375" style="422" customWidth="1"/>
    <col min="5634" max="5639" width="8.88671875" style="422"/>
    <col min="5640" max="5640" width="8.88671875" style="422" customWidth="1"/>
    <col min="5641" max="5888" width="8.88671875" style="422"/>
    <col min="5889" max="5889" width="45.77734375" style="422" customWidth="1"/>
    <col min="5890" max="5895" width="8.88671875" style="422"/>
    <col min="5896" max="5896" width="8.88671875" style="422" customWidth="1"/>
    <col min="5897" max="6144" width="8.88671875" style="422"/>
    <col min="6145" max="6145" width="45.77734375" style="422" customWidth="1"/>
    <col min="6146" max="6151" width="8.88671875" style="422"/>
    <col min="6152" max="6152" width="8.88671875" style="422" customWidth="1"/>
    <col min="6153" max="6400" width="8.88671875" style="422"/>
    <col min="6401" max="6401" width="45.77734375" style="422" customWidth="1"/>
    <col min="6402" max="6407" width="8.88671875" style="422"/>
    <col min="6408" max="6408" width="8.88671875" style="422" customWidth="1"/>
    <col min="6409" max="6656" width="8.88671875" style="422"/>
    <col min="6657" max="6657" width="45.77734375" style="422" customWidth="1"/>
    <col min="6658" max="6663" width="8.88671875" style="422"/>
    <col min="6664" max="6664" width="8.88671875" style="422" customWidth="1"/>
    <col min="6665" max="6912" width="8.88671875" style="422"/>
    <col min="6913" max="6913" width="45.77734375" style="422" customWidth="1"/>
    <col min="6914" max="6919" width="8.88671875" style="422"/>
    <col min="6920" max="6920" width="8.88671875" style="422" customWidth="1"/>
    <col min="6921" max="7168" width="8.88671875" style="422"/>
    <col min="7169" max="7169" width="45.77734375" style="422" customWidth="1"/>
    <col min="7170" max="7175" width="8.88671875" style="422"/>
    <col min="7176" max="7176" width="8.88671875" style="422" customWidth="1"/>
    <col min="7177" max="7424" width="8.88671875" style="422"/>
    <col min="7425" max="7425" width="45.77734375" style="422" customWidth="1"/>
    <col min="7426" max="7431" width="8.88671875" style="422"/>
    <col min="7432" max="7432" width="8.88671875" style="422" customWidth="1"/>
    <col min="7433" max="7680" width="8.88671875" style="422"/>
    <col min="7681" max="7681" width="45.77734375" style="422" customWidth="1"/>
    <col min="7682" max="7687" width="8.88671875" style="422"/>
    <col min="7688" max="7688" width="8.88671875" style="422" customWidth="1"/>
    <col min="7689" max="7936" width="8.88671875" style="422"/>
    <col min="7937" max="7937" width="45.77734375" style="422" customWidth="1"/>
    <col min="7938" max="7943" width="8.88671875" style="422"/>
    <col min="7944" max="7944" width="8.88671875" style="422" customWidth="1"/>
    <col min="7945" max="8192" width="8.88671875" style="422"/>
    <col min="8193" max="8193" width="45.77734375" style="422" customWidth="1"/>
    <col min="8194" max="8199" width="8.88671875" style="422"/>
    <col min="8200" max="8200" width="8.88671875" style="422" customWidth="1"/>
    <col min="8201" max="8448" width="8.88671875" style="422"/>
    <col min="8449" max="8449" width="45.77734375" style="422" customWidth="1"/>
    <col min="8450" max="8455" width="8.88671875" style="422"/>
    <col min="8456" max="8456" width="8.88671875" style="422" customWidth="1"/>
    <col min="8457" max="8704" width="8.88671875" style="422"/>
    <col min="8705" max="8705" width="45.77734375" style="422" customWidth="1"/>
    <col min="8706" max="8711" width="8.88671875" style="422"/>
    <col min="8712" max="8712" width="8.88671875" style="422" customWidth="1"/>
    <col min="8713" max="8960" width="8.88671875" style="422"/>
    <col min="8961" max="8961" width="45.77734375" style="422" customWidth="1"/>
    <col min="8962" max="8967" width="8.88671875" style="422"/>
    <col min="8968" max="8968" width="8.88671875" style="422" customWidth="1"/>
    <col min="8969" max="9216" width="8.88671875" style="422"/>
    <col min="9217" max="9217" width="45.77734375" style="422" customWidth="1"/>
    <col min="9218" max="9223" width="8.88671875" style="422"/>
    <col min="9224" max="9224" width="8.88671875" style="422" customWidth="1"/>
    <col min="9225" max="9472" width="8.88671875" style="422"/>
    <col min="9473" max="9473" width="45.77734375" style="422" customWidth="1"/>
    <col min="9474" max="9479" width="8.88671875" style="422"/>
    <col min="9480" max="9480" width="8.88671875" style="422" customWidth="1"/>
    <col min="9481" max="9728" width="8.88671875" style="422"/>
    <col min="9729" max="9729" width="45.77734375" style="422" customWidth="1"/>
    <col min="9730" max="9735" width="8.88671875" style="422"/>
    <col min="9736" max="9736" width="8.88671875" style="422" customWidth="1"/>
    <col min="9737" max="9984" width="8.88671875" style="422"/>
    <col min="9985" max="9985" width="45.77734375" style="422" customWidth="1"/>
    <col min="9986" max="9991" width="8.88671875" style="422"/>
    <col min="9992" max="9992" width="8.88671875" style="422" customWidth="1"/>
    <col min="9993" max="10240" width="8.88671875" style="422"/>
    <col min="10241" max="10241" width="45.77734375" style="422" customWidth="1"/>
    <col min="10242" max="10247" width="8.88671875" style="422"/>
    <col min="10248" max="10248" width="8.88671875" style="422" customWidth="1"/>
    <col min="10249" max="10496" width="8.88671875" style="422"/>
    <col min="10497" max="10497" width="45.77734375" style="422" customWidth="1"/>
    <col min="10498" max="10503" width="8.88671875" style="422"/>
    <col min="10504" max="10504" width="8.88671875" style="422" customWidth="1"/>
    <col min="10505" max="10752" width="8.88671875" style="422"/>
    <col min="10753" max="10753" width="45.77734375" style="422" customWidth="1"/>
    <col min="10754" max="10759" width="8.88671875" style="422"/>
    <col min="10760" max="10760" width="8.88671875" style="422" customWidth="1"/>
    <col min="10761" max="11008" width="8.88671875" style="422"/>
    <col min="11009" max="11009" width="45.77734375" style="422" customWidth="1"/>
    <col min="11010" max="11015" width="8.88671875" style="422"/>
    <col min="11016" max="11016" width="8.88671875" style="422" customWidth="1"/>
    <col min="11017" max="11264" width="8.88671875" style="422"/>
    <col min="11265" max="11265" width="45.77734375" style="422" customWidth="1"/>
    <col min="11266" max="11271" width="8.88671875" style="422"/>
    <col min="11272" max="11272" width="8.88671875" style="422" customWidth="1"/>
    <col min="11273" max="11520" width="8.88671875" style="422"/>
    <col min="11521" max="11521" width="45.77734375" style="422" customWidth="1"/>
    <col min="11522" max="11527" width="8.88671875" style="422"/>
    <col min="11528" max="11528" width="8.88671875" style="422" customWidth="1"/>
    <col min="11529" max="11776" width="8.88671875" style="422"/>
    <col min="11777" max="11777" width="45.77734375" style="422" customWidth="1"/>
    <col min="11778" max="11783" width="8.88671875" style="422"/>
    <col min="11784" max="11784" width="8.88671875" style="422" customWidth="1"/>
    <col min="11785" max="12032" width="8.88671875" style="422"/>
    <col min="12033" max="12033" width="45.77734375" style="422" customWidth="1"/>
    <col min="12034" max="12039" width="8.88671875" style="422"/>
    <col min="12040" max="12040" width="8.88671875" style="422" customWidth="1"/>
    <col min="12041" max="12288" width="8.88671875" style="422"/>
    <col min="12289" max="12289" width="45.77734375" style="422" customWidth="1"/>
    <col min="12290" max="12295" width="8.88671875" style="422"/>
    <col min="12296" max="12296" width="8.88671875" style="422" customWidth="1"/>
    <col min="12297" max="12544" width="8.88671875" style="422"/>
    <col min="12545" max="12545" width="45.77734375" style="422" customWidth="1"/>
    <col min="12546" max="12551" width="8.88671875" style="422"/>
    <col min="12552" max="12552" width="8.88671875" style="422" customWidth="1"/>
    <col min="12553" max="12800" width="8.88671875" style="422"/>
    <col min="12801" max="12801" width="45.77734375" style="422" customWidth="1"/>
    <col min="12802" max="12807" width="8.88671875" style="422"/>
    <col min="12808" max="12808" width="8.88671875" style="422" customWidth="1"/>
    <col min="12809" max="13056" width="8.88671875" style="422"/>
    <col min="13057" max="13057" width="45.77734375" style="422" customWidth="1"/>
    <col min="13058" max="13063" width="8.88671875" style="422"/>
    <col min="13064" max="13064" width="8.88671875" style="422" customWidth="1"/>
    <col min="13065" max="13312" width="8.88671875" style="422"/>
    <col min="13313" max="13313" width="45.77734375" style="422" customWidth="1"/>
    <col min="13314" max="13319" width="8.88671875" style="422"/>
    <col min="13320" max="13320" width="8.88671875" style="422" customWidth="1"/>
    <col min="13321" max="13568" width="8.88671875" style="422"/>
    <col min="13569" max="13569" width="45.77734375" style="422" customWidth="1"/>
    <col min="13570" max="13575" width="8.88671875" style="422"/>
    <col min="13576" max="13576" width="8.88671875" style="422" customWidth="1"/>
    <col min="13577" max="13824" width="8.88671875" style="422"/>
    <col min="13825" max="13825" width="45.77734375" style="422" customWidth="1"/>
    <col min="13826" max="13831" width="8.88671875" style="422"/>
    <col min="13832" max="13832" width="8.88671875" style="422" customWidth="1"/>
    <col min="13833" max="14080" width="8.88671875" style="422"/>
    <col min="14081" max="14081" width="45.77734375" style="422" customWidth="1"/>
    <col min="14082" max="14087" width="8.88671875" style="422"/>
    <col min="14088" max="14088" width="8.88671875" style="422" customWidth="1"/>
    <col min="14089" max="14336" width="8.88671875" style="422"/>
    <col min="14337" max="14337" width="45.77734375" style="422" customWidth="1"/>
    <col min="14338" max="14343" width="8.88671875" style="422"/>
    <col min="14344" max="14344" width="8.88671875" style="422" customWidth="1"/>
    <col min="14345" max="14592" width="8.88671875" style="422"/>
    <col min="14593" max="14593" width="45.77734375" style="422" customWidth="1"/>
    <col min="14594" max="14599" width="8.88671875" style="422"/>
    <col min="14600" max="14600" width="8.88671875" style="422" customWidth="1"/>
    <col min="14601" max="14848" width="8.88671875" style="422"/>
    <col min="14849" max="14849" width="45.77734375" style="422" customWidth="1"/>
    <col min="14850" max="14855" width="8.88671875" style="422"/>
    <col min="14856" max="14856" width="8.88671875" style="422" customWidth="1"/>
    <col min="14857" max="15104" width="8.88671875" style="422"/>
    <col min="15105" max="15105" width="45.77734375" style="422" customWidth="1"/>
    <col min="15106" max="15111" width="8.88671875" style="422"/>
    <col min="15112" max="15112" width="8.88671875" style="422" customWidth="1"/>
    <col min="15113" max="15360" width="8.88671875" style="422"/>
    <col min="15361" max="15361" width="45.77734375" style="422" customWidth="1"/>
    <col min="15362" max="15367" width="8.88671875" style="422"/>
    <col min="15368" max="15368" width="8.88671875" style="422" customWidth="1"/>
    <col min="15369" max="15616" width="8.88671875" style="422"/>
    <col min="15617" max="15617" width="45.77734375" style="422" customWidth="1"/>
    <col min="15618" max="15623" width="8.88671875" style="422"/>
    <col min="15624" max="15624" width="8.88671875" style="422" customWidth="1"/>
    <col min="15625" max="15872" width="8.88671875" style="422"/>
    <col min="15873" max="15873" width="45.77734375" style="422" customWidth="1"/>
    <col min="15874" max="15879" width="8.88671875" style="422"/>
    <col min="15880" max="15880" width="8.88671875" style="422" customWidth="1"/>
    <col min="15881" max="16128" width="8.88671875" style="422"/>
    <col min="16129" max="16129" width="45.77734375" style="422" customWidth="1"/>
    <col min="16130" max="16135" width="8.88671875" style="422"/>
    <col min="16136" max="16136" width="8.88671875" style="422" customWidth="1"/>
    <col min="16137" max="16384" width="8.88671875" style="422"/>
  </cols>
  <sheetData>
    <row r="1" spans="1:22" ht="14.55" customHeight="1" x14ac:dyDescent="0.2">
      <c r="A1" s="422" t="s">
        <v>477</v>
      </c>
      <c r="I1" s="424"/>
      <c r="J1" s="424"/>
      <c r="K1" s="424"/>
      <c r="L1" s="424"/>
      <c r="M1" s="424"/>
      <c r="R1" s="424"/>
      <c r="S1" s="424"/>
      <c r="T1" s="424"/>
      <c r="U1" s="424"/>
      <c r="V1" s="424"/>
    </row>
    <row r="2" spans="1:22" ht="14.55" customHeight="1" x14ac:dyDescent="0.25">
      <c r="A2" s="425" t="s">
        <v>478</v>
      </c>
      <c r="B2" s="426" t="s">
        <v>479</v>
      </c>
      <c r="C2" s="427" t="s">
        <v>69</v>
      </c>
      <c r="I2" s="424"/>
      <c r="J2" s="424"/>
      <c r="K2" s="424"/>
      <c r="L2" s="428"/>
      <c r="M2" s="424"/>
      <c r="R2" s="424"/>
      <c r="S2" s="424"/>
      <c r="T2" s="424"/>
      <c r="U2" s="428"/>
      <c r="V2" s="424"/>
    </row>
    <row r="3" spans="1:22" ht="14.55" customHeight="1" x14ac:dyDescent="0.2">
      <c r="A3" s="429" t="s">
        <v>480</v>
      </c>
      <c r="B3" s="429" t="s">
        <v>481</v>
      </c>
      <c r="C3" s="430" t="s">
        <v>482</v>
      </c>
      <c r="I3" s="424"/>
      <c r="J3" s="431"/>
      <c r="K3" s="432"/>
      <c r="L3" s="433"/>
      <c r="M3" s="424"/>
      <c r="R3" s="424"/>
      <c r="S3" s="431"/>
      <c r="T3" s="432"/>
      <c r="U3" s="433"/>
      <c r="V3" s="424"/>
    </row>
    <row r="4" spans="1:22" ht="14.55" customHeight="1" x14ac:dyDescent="0.2">
      <c r="A4" s="429" t="s">
        <v>218</v>
      </c>
      <c r="B4" s="429" t="s">
        <v>481</v>
      </c>
      <c r="C4" s="430" t="s">
        <v>483</v>
      </c>
      <c r="I4" s="424"/>
      <c r="J4" s="434"/>
      <c r="K4" s="424"/>
      <c r="L4" s="435"/>
      <c r="M4" s="424"/>
      <c r="R4" s="424"/>
      <c r="S4" s="434"/>
      <c r="T4" s="424"/>
      <c r="U4" s="435"/>
      <c r="V4" s="424"/>
    </row>
    <row r="5" spans="1:22" ht="14.55" customHeight="1" x14ac:dyDescent="0.2">
      <c r="A5" s="436" t="s">
        <v>484</v>
      </c>
      <c r="B5" s="429" t="s">
        <v>105</v>
      </c>
      <c r="C5" s="437" t="s">
        <v>485</v>
      </c>
      <c r="I5" s="424"/>
      <c r="J5" s="424"/>
      <c r="K5" s="424"/>
      <c r="L5" s="435"/>
      <c r="M5" s="424"/>
      <c r="R5" s="424"/>
      <c r="S5" s="424"/>
      <c r="T5" s="424"/>
      <c r="U5" s="435"/>
      <c r="V5" s="424"/>
    </row>
    <row r="6" spans="1:22" ht="14.55" customHeight="1" x14ac:dyDescent="0.2">
      <c r="A6" s="429" t="s">
        <v>486</v>
      </c>
      <c r="B6" s="429" t="s">
        <v>105</v>
      </c>
      <c r="C6" s="430" t="s">
        <v>487</v>
      </c>
      <c r="I6" s="424"/>
      <c r="J6" s="438"/>
      <c r="K6" s="424"/>
      <c r="L6" s="433"/>
      <c r="M6" s="424"/>
      <c r="R6" s="424"/>
      <c r="S6" s="438"/>
      <c r="T6" s="424"/>
      <c r="U6" s="433"/>
      <c r="V6" s="424"/>
    </row>
    <row r="7" spans="1:22" ht="14.55" customHeight="1" x14ac:dyDescent="0.2">
      <c r="A7" s="429" t="s">
        <v>488</v>
      </c>
      <c r="B7" s="429" t="s">
        <v>72</v>
      </c>
      <c r="C7" s="437" t="s">
        <v>489</v>
      </c>
      <c r="I7" s="424"/>
      <c r="J7" s="424"/>
      <c r="K7" s="424"/>
      <c r="L7" s="435"/>
      <c r="M7" s="424"/>
      <c r="R7" s="424"/>
      <c r="S7" s="424"/>
      <c r="T7" s="424"/>
      <c r="U7" s="435"/>
      <c r="V7" s="424"/>
    </row>
    <row r="8" spans="1:22" ht="14.55" customHeight="1" x14ac:dyDescent="0.2">
      <c r="A8" s="439" t="s">
        <v>490</v>
      </c>
      <c r="B8" s="429" t="s">
        <v>481</v>
      </c>
      <c r="C8" s="430" t="s">
        <v>491</v>
      </c>
      <c r="I8" s="424"/>
      <c r="J8" s="424"/>
      <c r="K8" s="424"/>
      <c r="L8" s="435"/>
      <c r="M8" s="424"/>
      <c r="R8" s="424"/>
      <c r="S8" s="424"/>
      <c r="T8" s="424"/>
      <c r="U8" s="435"/>
      <c r="V8" s="424"/>
    </row>
    <row r="9" spans="1:22" ht="14.55" customHeight="1" x14ac:dyDescent="0.2">
      <c r="A9" s="429" t="s">
        <v>492</v>
      </c>
      <c r="B9" s="429" t="s">
        <v>481</v>
      </c>
      <c r="C9" s="440" t="s">
        <v>493</v>
      </c>
      <c r="I9" s="424"/>
      <c r="J9" s="438"/>
      <c r="K9" s="432"/>
      <c r="L9" s="433"/>
      <c r="M9" s="424"/>
      <c r="R9" s="424"/>
      <c r="S9" s="438"/>
      <c r="T9" s="432"/>
      <c r="U9" s="433"/>
      <c r="V9" s="424"/>
    </row>
    <row r="10" spans="1:22" ht="14.55" customHeight="1" x14ac:dyDescent="0.2">
      <c r="A10" s="441" t="s">
        <v>494</v>
      </c>
      <c r="B10" s="429" t="s">
        <v>481</v>
      </c>
      <c r="C10" s="430" t="s">
        <v>491</v>
      </c>
      <c r="I10" s="424"/>
      <c r="J10" s="424"/>
      <c r="K10" s="424"/>
      <c r="L10" s="435"/>
      <c r="M10" s="424"/>
      <c r="R10" s="424"/>
      <c r="S10" s="424"/>
      <c r="T10" s="424"/>
      <c r="U10" s="435"/>
      <c r="V10" s="424"/>
    </row>
    <row r="11" spans="1:22" ht="14.55" customHeight="1" x14ac:dyDescent="0.2">
      <c r="A11" s="441" t="s">
        <v>495</v>
      </c>
      <c r="B11" s="429" t="s">
        <v>481</v>
      </c>
      <c r="C11" s="430" t="s">
        <v>496</v>
      </c>
      <c r="I11" s="424"/>
      <c r="J11" s="442"/>
      <c r="K11" s="424"/>
      <c r="L11" s="435"/>
      <c r="M11" s="424"/>
      <c r="R11" s="424"/>
      <c r="S11" s="442"/>
      <c r="T11" s="424"/>
      <c r="U11" s="435"/>
      <c r="V11" s="424"/>
    </row>
    <row r="12" spans="1:22" ht="14.55" customHeight="1" x14ac:dyDescent="0.2">
      <c r="A12" s="429" t="s">
        <v>497</v>
      </c>
      <c r="B12" s="429" t="s">
        <v>72</v>
      </c>
      <c r="C12" s="430" t="s">
        <v>498</v>
      </c>
      <c r="I12" s="424"/>
      <c r="J12" s="424"/>
      <c r="K12" s="424"/>
      <c r="L12" s="435"/>
      <c r="M12" s="424"/>
      <c r="R12" s="424"/>
      <c r="S12" s="424"/>
      <c r="T12" s="424"/>
      <c r="U12" s="435"/>
      <c r="V12" s="424"/>
    </row>
    <row r="13" spans="1:22" ht="14.55" customHeight="1" x14ac:dyDescent="0.2">
      <c r="A13" s="429" t="s">
        <v>499</v>
      </c>
      <c r="B13" s="429" t="s">
        <v>72</v>
      </c>
      <c r="C13" s="430" t="s">
        <v>500</v>
      </c>
      <c r="I13" s="424"/>
      <c r="J13" s="431"/>
      <c r="K13" s="424"/>
      <c r="L13" s="435"/>
      <c r="M13" s="424"/>
      <c r="R13" s="424"/>
      <c r="S13" s="431"/>
      <c r="T13" s="424"/>
      <c r="U13" s="435"/>
      <c r="V13" s="424"/>
    </row>
    <row r="14" spans="1:22" ht="14.55" customHeight="1" x14ac:dyDescent="0.2">
      <c r="A14" s="429" t="s">
        <v>501</v>
      </c>
      <c r="B14" s="429" t="s">
        <v>72</v>
      </c>
      <c r="C14" s="430" t="s">
        <v>500</v>
      </c>
      <c r="I14" s="424"/>
      <c r="J14" s="431"/>
      <c r="K14" s="424"/>
      <c r="L14" s="435"/>
      <c r="M14" s="424"/>
      <c r="R14" s="424"/>
      <c r="S14" s="431"/>
      <c r="T14" s="424"/>
      <c r="U14" s="435"/>
      <c r="V14" s="424"/>
    </row>
    <row r="15" spans="1:22" ht="14.55" customHeight="1" x14ac:dyDescent="0.2">
      <c r="A15" s="429" t="s">
        <v>502</v>
      </c>
      <c r="B15" s="429" t="s">
        <v>72</v>
      </c>
      <c r="C15" s="430" t="s">
        <v>503</v>
      </c>
      <c r="I15" s="424"/>
      <c r="J15" s="424"/>
      <c r="K15" s="424"/>
      <c r="L15" s="435"/>
      <c r="M15" s="424"/>
      <c r="R15" s="424"/>
      <c r="S15" s="424"/>
      <c r="T15" s="424"/>
      <c r="U15" s="435"/>
      <c r="V15" s="424"/>
    </row>
    <row r="16" spans="1:22" ht="14.55" customHeight="1" x14ac:dyDescent="0.2">
      <c r="A16" s="429" t="s">
        <v>504</v>
      </c>
      <c r="B16" s="443" t="s">
        <v>72</v>
      </c>
      <c r="C16" s="430" t="s">
        <v>505</v>
      </c>
      <c r="I16" s="424"/>
      <c r="J16" s="424"/>
      <c r="K16" s="424"/>
      <c r="L16" s="428"/>
      <c r="M16" s="424"/>
      <c r="R16" s="424"/>
      <c r="S16" s="424"/>
      <c r="T16" s="424"/>
      <c r="U16" s="428"/>
      <c r="V16" s="424"/>
    </row>
    <row r="17" spans="1:22" ht="14.55" customHeight="1" x14ac:dyDescent="0.2">
      <c r="A17" s="436" t="s">
        <v>506</v>
      </c>
      <c r="B17" s="443" t="s">
        <v>72</v>
      </c>
      <c r="C17" s="430" t="s">
        <v>507</v>
      </c>
      <c r="H17" s="444"/>
      <c r="I17" s="444"/>
      <c r="J17" s="424"/>
      <c r="K17" s="424"/>
      <c r="L17" s="435"/>
      <c r="M17" s="424"/>
      <c r="R17" s="424"/>
      <c r="S17" s="424"/>
      <c r="T17" s="424"/>
      <c r="U17" s="435"/>
      <c r="V17" s="424"/>
    </row>
    <row r="18" spans="1:22" ht="14.55" customHeight="1" x14ac:dyDescent="0.2">
      <c r="A18" s="429" t="s">
        <v>508</v>
      </c>
      <c r="B18" s="429" t="s">
        <v>509</v>
      </c>
      <c r="C18" s="430" t="s">
        <v>510</v>
      </c>
      <c r="D18" s="444"/>
      <c r="H18" s="444"/>
      <c r="I18" s="444"/>
      <c r="J18" s="438"/>
      <c r="K18" s="438"/>
      <c r="L18" s="435"/>
      <c r="M18" s="424"/>
      <c r="R18" s="424"/>
      <c r="S18" s="438"/>
      <c r="T18" s="438"/>
      <c r="U18" s="435"/>
      <c r="V18" s="424"/>
    </row>
    <row r="19" spans="1:22" ht="14.55" customHeight="1" x14ac:dyDescent="0.2">
      <c r="D19" s="445"/>
      <c r="H19" s="444"/>
      <c r="I19" s="446"/>
      <c r="J19" s="438"/>
      <c r="K19" s="438"/>
      <c r="L19" s="435"/>
      <c r="M19" s="424"/>
      <c r="R19" s="424"/>
      <c r="S19" s="438"/>
      <c r="T19" s="438"/>
      <c r="U19" s="435"/>
      <c r="V19" s="424"/>
    </row>
    <row r="20" spans="1:22" ht="14.55" customHeight="1" x14ac:dyDescent="0.2">
      <c r="D20" s="445"/>
      <c r="H20" s="444"/>
      <c r="I20" s="444"/>
      <c r="J20" s="438"/>
      <c r="K20" s="428"/>
      <c r="L20" s="428"/>
      <c r="M20" s="424"/>
      <c r="R20" s="424"/>
      <c r="S20" s="438"/>
      <c r="T20" s="428"/>
      <c r="U20" s="428"/>
      <c r="V20" s="424"/>
    </row>
    <row r="21" spans="1:22" s="447" customFormat="1" ht="14.55" customHeight="1" x14ac:dyDescent="0.2">
      <c r="A21" s="422"/>
      <c r="B21" s="422"/>
      <c r="C21" s="423"/>
      <c r="D21" s="445"/>
      <c r="H21" s="444"/>
      <c r="I21" s="444"/>
      <c r="J21" s="438"/>
      <c r="K21" s="438"/>
      <c r="L21" s="435"/>
      <c r="M21" s="445"/>
      <c r="R21" s="445"/>
      <c r="S21" s="438"/>
      <c r="T21" s="438"/>
      <c r="U21" s="435"/>
      <c r="V21" s="445"/>
    </row>
    <row r="22" spans="1:22" s="447" customFormat="1" ht="14.55" customHeight="1" x14ac:dyDescent="0.2">
      <c r="A22" s="422"/>
      <c r="B22" s="422"/>
      <c r="C22" s="423"/>
      <c r="D22" s="445"/>
      <c r="H22" s="444"/>
      <c r="I22" s="446"/>
      <c r="J22" s="438"/>
      <c r="K22" s="438"/>
      <c r="L22" s="435"/>
      <c r="M22" s="445"/>
      <c r="R22" s="445"/>
      <c r="S22" s="438"/>
      <c r="T22" s="438"/>
      <c r="U22" s="435"/>
      <c r="V22" s="445"/>
    </row>
    <row r="23" spans="1:22" ht="14.55" customHeight="1" x14ac:dyDescent="0.2">
      <c r="D23" s="444"/>
      <c r="H23" s="444"/>
      <c r="I23" s="446"/>
      <c r="J23" s="438"/>
      <c r="K23" s="428"/>
      <c r="L23" s="435"/>
      <c r="M23" s="424"/>
      <c r="R23" s="424"/>
      <c r="S23" s="438"/>
      <c r="T23" s="428"/>
      <c r="U23" s="435"/>
      <c r="V23" s="424"/>
    </row>
    <row r="24" spans="1:22" s="447" customFormat="1" ht="14.55" customHeight="1" x14ac:dyDescent="0.2">
      <c r="A24" s="422"/>
      <c r="B24" s="422"/>
      <c r="C24" s="423"/>
      <c r="D24" s="445"/>
      <c r="H24" s="444"/>
      <c r="I24" s="444"/>
      <c r="J24" s="438"/>
      <c r="K24" s="428"/>
      <c r="L24" s="435"/>
      <c r="M24" s="445"/>
      <c r="R24" s="445"/>
      <c r="S24" s="438"/>
      <c r="T24" s="428"/>
      <c r="U24" s="435"/>
      <c r="V24" s="445"/>
    </row>
    <row r="25" spans="1:22" s="447" customFormat="1" ht="14.55" customHeight="1" x14ac:dyDescent="0.2">
      <c r="A25" s="422"/>
      <c r="B25" s="422"/>
      <c r="C25" s="423"/>
      <c r="D25" s="445"/>
      <c r="H25" s="444"/>
      <c r="I25" s="444"/>
      <c r="J25" s="438"/>
      <c r="K25" s="438"/>
      <c r="L25" s="435"/>
      <c r="M25" s="445"/>
      <c r="R25" s="445"/>
      <c r="S25" s="438"/>
      <c r="T25" s="438"/>
      <c r="U25" s="435"/>
      <c r="V25" s="445"/>
    </row>
    <row r="26" spans="1:22" s="447" customFormat="1" ht="14.55" customHeight="1" x14ac:dyDescent="0.2">
      <c r="A26" s="422"/>
      <c r="B26" s="422"/>
      <c r="C26" s="423"/>
      <c r="D26" s="445"/>
      <c r="H26" s="444"/>
      <c r="I26" s="444"/>
      <c r="J26" s="438"/>
      <c r="K26" s="438"/>
      <c r="L26" s="435"/>
      <c r="M26" s="445"/>
      <c r="R26" s="445"/>
      <c r="S26" s="438"/>
      <c r="T26" s="438"/>
      <c r="U26" s="435"/>
      <c r="V26" s="445"/>
    </row>
    <row r="27" spans="1:22" s="447" customFormat="1" ht="14.55" customHeight="1" x14ac:dyDescent="0.2">
      <c r="A27" s="422"/>
      <c r="B27" s="422"/>
      <c r="C27" s="423"/>
      <c r="D27" s="445"/>
      <c r="H27" s="444"/>
      <c r="I27" s="444"/>
      <c r="J27" s="438"/>
      <c r="K27" s="438"/>
      <c r="L27" s="435"/>
      <c r="M27" s="445"/>
      <c r="R27" s="445"/>
      <c r="S27" s="438"/>
      <c r="T27" s="438"/>
      <c r="U27" s="435"/>
      <c r="V27" s="445"/>
    </row>
    <row r="28" spans="1:22" ht="14.55" customHeight="1" x14ac:dyDescent="0.2">
      <c r="D28" s="424"/>
      <c r="H28" s="444"/>
      <c r="I28" s="444"/>
      <c r="J28" s="438"/>
      <c r="K28" s="438"/>
      <c r="L28" s="435"/>
      <c r="M28" s="424"/>
      <c r="R28" s="424"/>
      <c r="S28" s="438"/>
      <c r="T28" s="438"/>
      <c r="U28" s="435"/>
      <c r="V28" s="424"/>
    </row>
    <row r="29" spans="1:22" ht="14.55" customHeight="1" x14ac:dyDescent="0.2">
      <c r="D29" s="444"/>
      <c r="H29" s="424"/>
      <c r="I29" s="424"/>
      <c r="J29" s="438"/>
      <c r="K29" s="438"/>
      <c r="L29" s="435"/>
      <c r="M29" s="424"/>
      <c r="R29" s="424"/>
      <c r="S29" s="438"/>
      <c r="T29" s="438"/>
      <c r="U29" s="435"/>
      <c r="V29" s="424"/>
    </row>
    <row r="30" spans="1:22" ht="14.55" customHeight="1" x14ac:dyDescent="0.2">
      <c r="D30" s="444"/>
      <c r="I30" s="424"/>
      <c r="J30" s="424"/>
      <c r="K30" s="424"/>
      <c r="L30" s="424"/>
      <c r="M30" s="424"/>
      <c r="R30" s="424"/>
      <c r="S30" s="424"/>
      <c r="T30" s="424"/>
      <c r="U30" s="424"/>
      <c r="V30" s="424"/>
    </row>
    <row r="31" spans="1:22" s="447" customFormat="1" ht="14.55" customHeight="1" x14ac:dyDescent="0.2">
      <c r="A31" s="422"/>
      <c r="B31" s="422"/>
      <c r="C31" s="423"/>
      <c r="D31" s="445"/>
    </row>
    <row r="32" spans="1:22" s="447" customFormat="1" ht="14.55" customHeight="1" x14ac:dyDescent="0.2">
      <c r="A32" s="422"/>
      <c r="B32" s="422"/>
      <c r="C32" s="423"/>
      <c r="D32" s="445"/>
    </row>
    <row r="33" spans="1:4" s="447" customFormat="1" ht="14.55" customHeight="1" x14ac:dyDescent="0.2">
      <c r="A33" s="422"/>
      <c r="B33" s="422"/>
      <c r="C33" s="423"/>
      <c r="D33" s="445"/>
    </row>
    <row r="34" spans="1:4" ht="14.55" customHeight="1" x14ac:dyDescent="0.2">
      <c r="D34" s="424"/>
    </row>
  </sheetData>
  <pageMargins left="0.7" right="0.7" top="0.78740157499999996" bottom="0.78740157499999996" header="0.3" footer="0.3"/>
  <pageSetup paperSize="8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0"/>
  <sheetViews>
    <sheetView view="pageBreakPreview" topLeftCell="A28" zoomScaleNormal="75" zoomScaleSheetLayoutView="100" workbookViewId="0">
      <selection activeCell="I55" sqref="I55"/>
    </sheetView>
  </sheetViews>
  <sheetFormatPr defaultRowHeight="14.4" x14ac:dyDescent="0.3"/>
  <cols>
    <col min="1" max="1" width="15.33203125" style="448" customWidth="1"/>
    <col min="2" max="2" width="42.109375" style="448" customWidth="1"/>
    <col min="3" max="3" width="16.77734375" style="448" customWidth="1"/>
    <col min="4" max="4" width="22.21875" style="448" customWidth="1"/>
    <col min="5" max="5" width="9" style="448" customWidth="1"/>
    <col min="6" max="8" width="8.88671875" style="448"/>
    <col min="9" max="9" width="17" style="448" customWidth="1"/>
    <col min="10" max="10" width="37" style="448" customWidth="1"/>
    <col min="11" max="11" width="16.77734375" style="448" customWidth="1"/>
    <col min="12" max="256" width="8.88671875" style="448"/>
    <col min="257" max="257" width="15.33203125" style="448" customWidth="1"/>
    <col min="258" max="258" width="42.109375" style="448" customWidth="1"/>
    <col min="259" max="259" width="16.77734375" style="448" customWidth="1"/>
    <col min="260" max="260" width="22.21875" style="448" customWidth="1"/>
    <col min="261" max="261" width="9" style="448" customWidth="1"/>
    <col min="262" max="264" width="8.88671875" style="448"/>
    <col min="265" max="265" width="17" style="448" customWidth="1"/>
    <col min="266" max="266" width="37" style="448" customWidth="1"/>
    <col min="267" max="267" width="16.77734375" style="448" customWidth="1"/>
    <col min="268" max="512" width="8.88671875" style="448"/>
    <col min="513" max="513" width="15.33203125" style="448" customWidth="1"/>
    <col min="514" max="514" width="42.109375" style="448" customWidth="1"/>
    <col min="515" max="515" width="16.77734375" style="448" customWidth="1"/>
    <col min="516" max="516" width="22.21875" style="448" customWidth="1"/>
    <col min="517" max="517" width="9" style="448" customWidth="1"/>
    <col min="518" max="520" width="8.88671875" style="448"/>
    <col min="521" max="521" width="17" style="448" customWidth="1"/>
    <col min="522" max="522" width="37" style="448" customWidth="1"/>
    <col min="523" max="523" width="16.77734375" style="448" customWidth="1"/>
    <col min="524" max="768" width="8.88671875" style="448"/>
    <col min="769" max="769" width="15.33203125" style="448" customWidth="1"/>
    <col min="770" max="770" width="42.109375" style="448" customWidth="1"/>
    <col min="771" max="771" width="16.77734375" style="448" customWidth="1"/>
    <col min="772" max="772" width="22.21875" style="448" customWidth="1"/>
    <col min="773" max="773" width="9" style="448" customWidth="1"/>
    <col min="774" max="776" width="8.88671875" style="448"/>
    <col min="777" max="777" width="17" style="448" customWidth="1"/>
    <col min="778" max="778" width="37" style="448" customWidth="1"/>
    <col min="779" max="779" width="16.77734375" style="448" customWidth="1"/>
    <col min="780" max="1024" width="8.88671875" style="448"/>
    <col min="1025" max="1025" width="15.33203125" style="448" customWidth="1"/>
    <col min="1026" max="1026" width="42.109375" style="448" customWidth="1"/>
    <col min="1027" max="1027" width="16.77734375" style="448" customWidth="1"/>
    <col min="1028" max="1028" width="22.21875" style="448" customWidth="1"/>
    <col min="1029" max="1029" width="9" style="448" customWidth="1"/>
    <col min="1030" max="1032" width="8.88671875" style="448"/>
    <col min="1033" max="1033" width="17" style="448" customWidth="1"/>
    <col min="1034" max="1034" width="37" style="448" customWidth="1"/>
    <col min="1035" max="1035" width="16.77734375" style="448" customWidth="1"/>
    <col min="1036" max="1280" width="8.88671875" style="448"/>
    <col min="1281" max="1281" width="15.33203125" style="448" customWidth="1"/>
    <col min="1282" max="1282" width="42.109375" style="448" customWidth="1"/>
    <col min="1283" max="1283" width="16.77734375" style="448" customWidth="1"/>
    <col min="1284" max="1284" width="22.21875" style="448" customWidth="1"/>
    <col min="1285" max="1285" width="9" style="448" customWidth="1"/>
    <col min="1286" max="1288" width="8.88671875" style="448"/>
    <col min="1289" max="1289" width="17" style="448" customWidth="1"/>
    <col min="1290" max="1290" width="37" style="448" customWidth="1"/>
    <col min="1291" max="1291" width="16.77734375" style="448" customWidth="1"/>
    <col min="1292" max="1536" width="8.88671875" style="448"/>
    <col min="1537" max="1537" width="15.33203125" style="448" customWidth="1"/>
    <col min="1538" max="1538" width="42.109375" style="448" customWidth="1"/>
    <col min="1539" max="1539" width="16.77734375" style="448" customWidth="1"/>
    <col min="1540" max="1540" width="22.21875" style="448" customWidth="1"/>
    <col min="1541" max="1541" width="9" style="448" customWidth="1"/>
    <col min="1542" max="1544" width="8.88671875" style="448"/>
    <col min="1545" max="1545" width="17" style="448" customWidth="1"/>
    <col min="1546" max="1546" width="37" style="448" customWidth="1"/>
    <col min="1547" max="1547" width="16.77734375" style="448" customWidth="1"/>
    <col min="1548" max="1792" width="8.88671875" style="448"/>
    <col min="1793" max="1793" width="15.33203125" style="448" customWidth="1"/>
    <col min="1794" max="1794" width="42.109375" style="448" customWidth="1"/>
    <col min="1795" max="1795" width="16.77734375" style="448" customWidth="1"/>
    <col min="1796" max="1796" width="22.21875" style="448" customWidth="1"/>
    <col min="1797" max="1797" width="9" style="448" customWidth="1"/>
    <col min="1798" max="1800" width="8.88671875" style="448"/>
    <col min="1801" max="1801" width="17" style="448" customWidth="1"/>
    <col min="1802" max="1802" width="37" style="448" customWidth="1"/>
    <col min="1803" max="1803" width="16.77734375" style="448" customWidth="1"/>
    <col min="1804" max="2048" width="8.88671875" style="448"/>
    <col min="2049" max="2049" width="15.33203125" style="448" customWidth="1"/>
    <col min="2050" max="2050" width="42.109375" style="448" customWidth="1"/>
    <col min="2051" max="2051" width="16.77734375" style="448" customWidth="1"/>
    <col min="2052" max="2052" width="22.21875" style="448" customWidth="1"/>
    <col min="2053" max="2053" width="9" style="448" customWidth="1"/>
    <col min="2054" max="2056" width="8.88671875" style="448"/>
    <col min="2057" max="2057" width="17" style="448" customWidth="1"/>
    <col min="2058" max="2058" width="37" style="448" customWidth="1"/>
    <col min="2059" max="2059" width="16.77734375" style="448" customWidth="1"/>
    <col min="2060" max="2304" width="8.88671875" style="448"/>
    <col min="2305" max="2305" width="15.33203125" style="448" customWidth="1"/>
    <col min="2306" max="2306" width="42.109375" style="448" customWidth="1"/>
    <col min="2307" max="2307" width="16.77734375" style="448" customWidth="1"/>
    <col min="2308" max="2308" width="22.21875" style="448" customWidth="1"/>
    <col min="2309" max="2309" width="9" style="448" customWidth="1"/>
    <col min="2310" max="2312" width="8.88671875" style="448"/>
    <col min="2313" max="2313" width="17" style="448" customWidth="1"/>
    <col min="2314" max="2314" width="37" style="448" customWidth="1"/>
    <col min="2315" max="2315" width="16.77734375" style="448" customWidth="1"/>
    <col min="2316" max="2560" width="8.88671875" style="448"/>
    <col min="2561" max="2561" width="15.33203125" style="448" customWidth="1"/>
    <col min="2562" max="2562" width="42.109375" style="448" customWidth="1"/>
    <col min="2563" max="2563" width="16.77734375" style="448" customWidth="1"/>
    <col min="2564" max="2564" width="22.21875" style="448" customWidth="1"/>
    <col min="2565" max="2565" width="9" style="448" customWidth="1"/>
    <col min="2566" max="2568" width="8.88671875" style="448"/>
    <col min="2569" max="2569" width="17" style="448" customWidth="1"/>
    <col min="2570" max="2570" width="37" style="448" customWidth="1"/>
    <col min="2571" max="2571" width="16.77734375" style="448" customWidth="1"/>
    <col min="2572" max="2816" width="8.88671875" style="448"/>
    <col min="2817" max="2817" width="15.33203125" style="448" customWidth="1"/>
    <col min="2818" max="2818" width="42.109375" style="448" customWidth="1"/>
    <col min="2819" max="2819" width="16.77734375" style="448" customWidth="1"/>
    <col min="2820" max="2820" width="22.21875" style="448" customWidth="1"/>
    <col min="2821" max="2821" width="9" style="448" customWidth="1"/>
    <col min="2822" max="2824" width="8.88671875" style="448"/>
    <col min="2825" max="2825" width="17" style="448" customWidth="1"/>
    <col min="2826" max="2826" width="37" style="448" customWidth="1"/>
    <col min="2827" max="2827" width="16.77734375" style="448" customWidth="1"/>
    <col min="2828" max="3072" width="8.88671875" style="448"/>
    <col min="3073" max="3073" width="15.33203125" style="448" customWidth="1"/>
    <col min="3074" max="3074" width="42.109375" style="448" customWidth="1"/>
    <col min="3075" max="3075" width="16.77734375" style="448" customWidth="1"/>
    <col min="3076" max="3076" width="22.21875" style="448" customWidth="1"/>
    <col min="3077" max="3077" width="9" style="448" customWidth="1"/>
    <col min="3078" max="3080" width="8.88671875" style="448"/>
    <col min="3081" max="3081" width="17" style="448" customWidth="1"/>
    <col min="3082" max="3082" width="37" style="448" customWidth="1"/>
    <col min="3083" max="3083" width="16.77734375" style="448" customWidth="1"/>
    <col min="3084" max="3328" width="8.88671875" style="448"/>
    <col min="3329" max="3329" width="15.33203125" style="448" customWidth="1"/>
    <col min="3330" max="3330" width="42.109375" style="448" customWidth="1"/>
    <col min="3331" max="3331" width="16.77734375" style="448" customWidth="1"/>
    <col min="3332" max="3332" width="22.21875" style="448" customWidth="1"/>
    <col min="3333" max="3333" width="9" style="448" customWidth="1"/>
    <col min="3334" max="3336" width="8.88671875" style="448"/>
    <col min="3337" max="3337" width="17" style="448" customWidth="1"/>
    <col min="3338" max="3338" width="37" style="448" customWidth="1"/>
    <col min="3339" max="3339" width="16.77734375" style="448" customWidth="1"/>
    <col min="3340" max="3584" width="8.88671875" style="448"/>
    <col min="3585" max="3585" width="15.33203125" style="448" customWidth="1"/>
    <col min="3586" max="3586" width="42.109375" style="448" customWidth="1"/>
    <col min="3587" max="3587" width="16.77734375" style="448" customWidth="1"/>
    <col min="3588" max="3588" width="22.21875" style="448" customWidth="1"/>
    <col min="3589" max="3589" width="9" style="448" customWidth="1"/>
    <col min="3590" max="3592" width="8.88671875" style="448"/>
    <col min="3593" max="3593" width="17" style="448" customWidth="1"/>
    <col min="3594" max="3594" width="37" style="448" customWidth="1"/>
    <col min="3595" max="3595" width="16.77734375" style="448" customWidth="1"/>
    <col min="3596" max="3840" width="8.88671875" style="448"/>
    <col min="3841" max="3841" width="15.33203125" style="448" customWidth="1"/>
    <col min="3842" max="3842" width="42.109375" style="448" customWidth="1"/>
    <col min="3843" max="3843" width="16.77734375" style="448" customWidth="1"/>
    <col min="3844" max="3844" width="22.21875" style="448" customWidth="1"/>
    <col min="3845" max="3845" width="9" style="448" customWidth="1"/>
    <col min="3846" max="3848" width="8.88671875" style="448"/>
    <col min="3849" max="3849" width="17" style="448" customWidth="1"/>
    <col min="3850" max="3850" width="37" style="448" customWidth="1"/>
    <col min="3851" max="3851" width="16.77734375" style="448" customWidth="1"/>
    <col min="3852" max="4096" width="8.88671875" style="448"/>
    <col min="4097" max="4097" width="15.33203125" style="448" customWidth="1"/>
    <col min="4098" max="4098" width="42.109375" style="448" customWidth="1"/>
    <col min="4099" max="4099" width="16.77734375" style="448" customWidth="1"/>
    <col min="4100" max="4100" width="22.21875" style="448" customWidth="1"/>
    <col min="4101" max="4101" width="9" style="448" customWidth="1"/>
    <col min="4102" max="4104" width="8.88671875" style="448"/>
    <col min="4105" max="4105" width="17" style="448" customWidth="1"/>
    <col min="4106" max="4106" width="37" style="448" customWidth="1"/>
    <col min="4107" max="4107" width="16.77734375" style="448" customWidth="1"/>
    <col min="4108" max="4352" width="8.88671875" style="448"/>
    <col min="4353" max="4353" width="15.33203125" style="448" customWidth="1"/>
    <col min="4354" max="4354" width="42.109375" style="448" customWidth="1"/>
    <col min="4355" max="4355" width="16.77734375" style="448" customWidth="1"/>
    <col min="4356" max="4356" width="22.21875" style="448" customWidth="1"/>
    <col min="4357" max="4357" width="9" style="448" customWidth="1"/>
    <col min="4358" max="4360" width="8.88671875" style="448"/>
    <col min="4361" max="4361" width="17" style="448" customWidth="1"/>
    <col min="4362" max="4362" width="37" style="448" customWidth="1"/>
    <col min="4363" max="4363" width="16.77734375" style="448" customWidth="1"/>
    <col min="4364" max="4608" width="8.88671875" style="448"/>
    <col min="4609" max="4609" width="15.33203125" style="448" customWidth="1"/>
    <col min="4610" max="4610" width="42.109375" style="448" customWidth="1"/>
    <col min="4611" max="4611" width="16.77734375" style="448" customWidth="1"/>
    <col min="4612" max="4612" width="22.21875" style="448" customWidth="1"/>
    <col min="4613" max="4613" width="9" style="448" customWidth="1"/>
    <col min="4614" max="4616" width="8.88671875" style="448"/>
    <col min="4617" max="4617" width="17" style="448" customWidth="1"/>
    <col min="4618" max="4618" width="37" style="448" customWidth="1"/>
    <col min="4619" max="4619" width="16.77734375" style="448" customWidth="1"/>
    <col min="4620" max="4864" width="8.88671875" style="448"/>
    <col min="4865" max="4865" width="15.33203125" style="448" customWidth="1"/>
    <col min="4866" max="4866" width="42.109375" style="448" customWidth="1"/>
    <col min="4867" max="4867" width="16.77734375" style="448" customWidth="1"/>
    <col min="4868" max="4868" width="22.21875" style="448" customWidth="1"/>
    <col min="4869" max="4869" width="9" style="448" customWidth="1"/>
    <col min="4870" max="4872" width="8.88671875" style="448"/>
    <col min="4873" max="4873" width="17" style="448" customWidth="1"/>
    <col min="4874" max="4874" width="37" style="448" customWidth="1"/>
    <col min="4875" max="4875" width="16.77734375" style="448" customWidth="1"/>
    <col min="4876" max="5120" width="8.88671875" style="448"/>
    <col min="5121" max="5121" width="15.33203125" style="448" customWidth="1"/>
    <col min="5122" max="5122" width="42.109375" style="448" customWidth="1"/>
    <col min="5123" max="5123" width="16.77734375" style="448" customWidth="1"/>
    <col min="5124" max="5124" width="22.21875" style="448" customWidth="1"/>
    <col min="5125" max="5125" width="9" style="448" customWidth="1"/>
    <col min="5126" max="5128" width="8.88671875" style="448"/>
    <col min="5129" max="5129" width="17" style="448" customWidth="1"/>
    <col min="5130" max="5130" width="37" style="448" customWidth="1"/>
    <col min="5131" max="5131" width="16.77734375" style="448" customWidth="1"/>
    <col min="5132" max="5376" width="8.88671875" style="448"/>
    <col min="5377" max="5377" width="15.33203125" style="448" customWidth="1"/>
    <col min="5378" max="5378" width="42.109375" style="448" customWidth="1"/>
    <col min="5379" max="5379" width="16.77734375" style="448" customWidth="1"/>
    <col min="5380" max="5380" width="22.21875" style="448" customWidth="1"/>
    <col min="5381" max="5381" width="9" style="448" customWidth="1"/>
    <col min="5382" max="5384" width="8.88671875" style="448"/>
    <col min="5385" max="5385" width="17" style="448" customWidth="1"/>
    <col min="5386" max="5386" width="37" style="448" customWidth="1"/>
    <col min="5387" max="5387" width="16.77734375" style="448" customWidth="1"/>
    <col min="5388" max="5632" width="8.88671875" style="448"/>
    <col min="5633" max="5633" width="15.33203125" style="448" customWidth="1"/>
    <col min="5634" max="5634" width="42.109375" style="448" customWidth="1"/>
    <col min="5635" max="5635" width="16.77734375" style="448" customWidth="1"/>
    <col min="5636" max="5636" width="22.21875" style="448" customWidth="1"/>
    <col min="5637" max="5637" width="9" style="448" customWidth="1"/>
    <col min="5638" max="5640" width="8.88671875" style="448"/>
    <col min="5641" max="5641" width="17" style="448" customWidth="1"/>
    <col min="5642" max="5642" width="37" style="448" customWidth="1"/>
    <col min="5643" max="5643" width="16.77734375" style="448" customWidth="1"/>
    <col min="5644" max="5888" width="8.88671875" style="448"/>
    <col min="5889" max="5889" width="15.33203125" style="448" customWidth="1"/>
    <col min="5890" max="5890" width="42.109375" style="448" customWidth="1"/>
    <col min="5891" max="5891" width="16.77734375" style="448" customWidth="1"/>
    <col min="5892" max="5892" width="22.21875" style="448" customWidth="1"/>
    <col min="5893" max="5893" width="9" style="448" customWidth="1"/>
    <col min="5894" max="5896" width="8.88671875" style="448"/>
    <col min="5897" max="5897" width="17" style="448" customWidth="1"/>
    <col min="5898" max="5898" width="37" style="448" customWidth="1"/>
    <col min="5899" max="5899" width="16.77734375" style="448" customWidth="1"/>
    <col min="5900" max="6144" width="8.88671875" style="448"/>
    <col min="6145" max="6145" width="15.33203125" style="448" customWidth="1"/>
    <col min="6146" max="6146" width="42.109375" style="448" customWidth="1"/>
    <col min="6147" max="6147" width="16.77734375" style="448" customWidth="1"/>
    <col min="6148" max="6148" width="22.21875" style="448" customWidth="1"/>
    <col min="6149" max="6149" width="9" style="448" customWidth="1"/>
    <col min="6150" max="6152" width="8.88671875" style="448"/>
    <col min="6153" max="6153" width="17" style="448" customWidth="1"/>
    <col min="6154" max="6154" width="37" style="448" customWidth="1"/>
    <col min="6155" max="6155" width="16.77734375" style="448" customWidth="1"/>
    <col min="6156" max="6400" width="8.88671875" style="448"/>
    <col min="6401" max="6401" width="15.33203125" style="448" customWidth="1"/>
    <col min="6402" max="6402" width="42.109375" style="448" customWidth="1"/>
    <col min="6403" max="6403" width="16.77734375" style="448" customWidth="1"/>
    <col min="6404" max="6404" width="22.21875" style="448" customWidth="1"/>
    <col min="6405" max="6405" width="9" style="448" customWidth="1"/>
    <col min="6406" max="6408" width="8.88671875" style="448"/>
    <col min="6409" max="6409" width="17" style="448" customWidth="1"/>
    <col min="6410" max="6410" width="37" style="448" customWidth="1"/>
    <col min="6411" max="6411" width="16.77734375" style="448" customWidth="1"/>
    <col min="6412" max="6656" width="8.88671875" style="448"/>
    <col min="6657" max="6657" width="15.33203125" style="448" customWidth="1"/>
    <col min="6658" max="6658" width="42.109375" style="448" customWidth="1"/>
    <col min="6659" max="6659" width="16.77734375" style="448" customWidth="1"/>
    <col min="6660" max="6660" width="22.21875" style="448" customWidth="1"/>
    <col min="6661" max="6661" width="9" style="448" customWidth="1"/>
    <col min="6662" max="6664" width="8.88671875" style="448"/>
    <col min="6665" max="6665" width="17" style="448" customWidth="1"/>
    <col min="6666" max="6666" width="37" style="448" customWidth="1"/>
    <col min="6667" max="6667" width="16.77734375" style="448" customWidth="1"/>
    <col min="6668" max="6912" width="8.88671875" style="448"/>
    <col min="6913" max="6913" width="15.33203125" style="448" customWidth="1"/>
    <col min="6914" max="6914" width="42.109375" style="448" customWidth="1"/>
    <col min="6915" max="6915" width="16.77734375" style="448" customWidth="1"/>
    <col min="6916" max="6916" width="22.21875" style="448" customWidth="1"/>
    <col min="6917" max="6917" width="9" style="448" customWidth="1"/>
    <col min="6918" max="6920" width="8.88671875" style="448"/>
    <col min="6921" max="6921" width="17" style="448" customWidth="1"/>
    <col min="6922" max="6922" width="37" style="448" customWidth="1"/>
    <col min="6923" max="6923" width="16.77734375" style="448" customWidth="1"/>
    <col min="6924" max="7168" width="8.88671875" style="448"/>
    <col min="7169" max="7169" width="15.33203125" style="448" customWidth="1"/>
    <col min="7170" max="7170" width="42.109375" style="448" customWidth="1"/>
    <col min="7171" max="7171" width="16.77734375" style="448" customWidth="1"/>
    <col min="7172" max="7172" width="22.21875" style="448" customWidth="1"/>
    <col min="7173" max="7173" width="9" style="448" customWidth="1"/>
    <col min="7174" max="7176" width="8.88671875" style="448"/>
    <col min="7177" max="7177" width="17" style="448" customWidth="1"/>
    <col min="7178" max="7178" width="37" style="448" customWidth="1"/>
    <col min="7179" max="7179" width="16.77734375" style="448" customWidth="1"/>
    <col min="7180" max="7424" width="8.88671875" style="448"/>
    <col min="7425" max="7425" width="15.33203125" style="448" customWidth="1"/>
    <col min="7426" max="7426" width="42.109375" style="448" customWidth="1"/>
    <col min="7427" max="7427" width="16.77734375" style="448" customWidth="1"/>
    <col min="7428" max="7428" width="22.21875" style="448" customWidth="1"/>
    <col min="7429" max="7429" width="9" style="448" customWidth="1"/>
    <col min="7430" max="7432" width="8.88671875" style="448"/>
    <col min="7433" max="7433" width="17" style="448" customWidth="1"/>
    <col min="7434" max="7434" width="37" style="448" customWidth="1"/>
    <col min="7435" max="7435" width="16.77734375" style="448" customWidth="1"/>
    <col min="7436" max="7680" width="8.88671875" style="448"/>
    <col min="7681" max="7681" width="15.33203125" style="448" customWidth="1"/>
    <col min="7682" max="7682" width="42.109375" style="448" customWidth="1"/>
    <col min="7683" max="7683" width="16.77734375" style="448" customWidth="1"/>
    <col min="7684" max="7684" width="22.21875" style="448" customWidth="1"/>
    <col min="7685" max="7685" width="9" style="448" customWidth="1"/>
    <col min="7686" max="7688" width="8.88671875" style="448"/>
    <col min="7689" max="7689" width="17" style="448" customWidth="1"/>
    <col min="7690" max="7690" width="37" style="448" customWidth="1"/>
    <col min="7691" max="7691" width="16.77734375" style="448" customWidth="1"/>
    <col min="7692" max="7936" width="8.88671875" style="448"/>
    <col min="7937" max="7937" width="15.33203125" style="448" customWidth="1"/>
    <col min="7938" max="7938" width="42.109375" style="448" customWidth="1"/>
    <col min="7939" max="7939" width="16.77734375" style="448" customWidth="1"/>
    <col min="7940" max="7940" width="22.21875" style="448" customWidth="1"/>
    <col min="7941" max="7941" width="9" style="448" customWidth="1"/>
    <col min="7942" max="7944" width="8.88671875" style="448"/>
    <col min="7945" max="7945" width="17" style="448" customWidth="1"/>
    <col min="7946" max="7946" width="37" style="448" customWidth="1"/>
    <col min="7947" max="7947" width="16.77734375" style="448" customWidth="1"/>
    <col min="7948" max="8192" width="8.88671875" style="448"/>
    <col min="8193" max="8193" width="15.33203125" style="448" customWidth="1"/>
    <col min="8194" max="8194" width="42.109375" style="448" customWidth="1"/>
    <col min="8195" max="8195" width="16.77734375" style="448" customWidth="1"/>
    <col min="8196" max="8196" width="22.21875" style="448" customWidth="1"/>
    <col min="8197" max="8197" width="9" style="448" customWidth="1"/>
    <col min="8198" max="8200" width="8.88671875" style="448"/>
    <col min="8201" max="8201" width="17" style="448" customWidth="1"/>
    <col min="8202" max="8202" width="37" style="448" customWidth="1"/>
    <col min="8203" max="8203" width="16.77734375" style="448" customWidth="1"/>
    <col min="8204" max="8448" width="8.88671875" style="448"/>
    <col min="8449" max="8449" width="15.33203125" style="448" customWidth="1"/>
    <col min="8450" max="8450" width="42.109375" style="448" customWidth="1"/>
    <col min="8451" max="8451" width="16.77734375" style="448" customWidth="1"/>
    <col min="8452" max="8452" width="22.21875" style="448" customWidth="1"/>
    <col min="8453" max="8453" width="9" style="448" customWidth="1"/>
    <col min="8454" max="8456" width="8.88671875" style="448"/>
    <col min="8457" max="8457" width="17" style="448" customWidth="1"/>
    <col min="8458" max="8458" width="37" style="448" customWidth="1"/>
    <col min="8459" max="8459" width="16.77734375" style="448" customWidth="1"/>
    <col min="8460" max="8704" width="8.88671875" style="448"/>
    <col min="8705" max="8705" width="15.33203125" style="448" customWidth="1"/>
    <col min="8706" max="8706" width="42.109375" style="448" customWidth="1"/>
    <col min="8707" max="8707" width="16.77734375" style="448" customWidth="1"/>
    <col min="8708" max="8708" width="22.21875" style="448" customWidth="1"/>
    <col min="8709" max="8709" width="9" style="448" customWidth="1"/>
    <col min="8710" max="8712" width="8.88671875" style="448"/>
    <col min="8713" max="8713" width="17" style="448" customWidth="1"/>
    <col min="8714" max="8714" width="37" style="448" customWidth="1"/>
    <col min="8715" max="8715" width="16.77734375" style="448" customWidth="1"/>
    <col min="8716" max="8960" width="8.88671875" style="448"/>
    <col min="8961" max="8961" width="15.33203125" style="448" customWidth="1"/>
    <col min="8962" max="8962" width="42.109375" style="448" customWidth="1"/>
    <col min="8963" max="8963" width="16.77734375" style="448" customWidth="1"/>
    <col min="8964" max="8964" width="22.21875" style="448" customWidth="1"/>
    <col min="8965" max="8965" width="9" style="448" customWidth="1"/>
    <col min="8966" max="8968" width="8.88671875" style="448"/>
    <col min="8969" max="8969" width="17" style="448" customWidth="1"/>
    <col min="8970" max="8970" width="37" style="448" customWidth="1"/>
    <col min="8971" max="8971" width="16.77734375" style="448" customWidth="1"/>
    <col min="8972" max="9216" width="8.88671875" style="448"/>
    <col min="9217" max="9217" width="15.33203125" style="448" customWidth="1"/>
    <col min="9218" max="9218" width="42.109375" style="448" customWidth="1"/>
    <col min="9219" max="9219" width="16.77734375" style="448" customWidth="1"/>
    <col min="9220" max="9220" width="22.21875" style="448" customWidth="1"/>
    <col min="9221" max="9221" width="9" style="448" customWidth="1"/>
    <col min="9222" max="9224" width="8.88671875" style="448"/>
    <col min="9225" max="9225" width="17" style="448" customWidth="1"/>
    <col min="9226" max="9226" width="37" style="448" customWidth="1"/>
    <col min="9227" max="9227" width="16.77734375" style="448" customWidth="1"/>
    <col min="9228" max="9472" width="8.88671875" style="448"/>
    <col min="9473" max="9473" width="15.33203125" style="448" customWidth="1"/>
    <col min="9474" max="9474" width="42.109375" style="448" customWidth="1"/>
    <col min="9475" max="9475" width="16.77734375" style="448" customWidth="1"/>
    <col min="9476" max="9476" width="22.21875" style="448" customWidth="1"/>
    <col min="9477" max="9477" width="9" style="448" customWidth="1"/>
    <col min="9478" max="9480" width="8.88671875" style="448"/>
    <col min="9481" max="9481" width="17" style="448" customWidth="1"/>
    <col min="9482" max="9482" width="37" style="448" customWidth="1"/>
    <col min="9483" max="9483" width="16.77734375" style="448" customWidth="1"/>
    <col min="9484" max="9728" width="8.88671875" style="448"/>
    <col min="9729" max="9729" width="15.33203125" style="448" customWidth="1"/>
    <col min="9730" max="9730" width="42.109375" style="448" customWidth="1"/>
    <col min="9731" max="9731" width="16.77734375" style="448" customWidth="1"/>
    <col min="9732" max="9732" width="22.21875" style="448" customWidth="1"/>
    <col min="9733" max="9733" width="9" style="448" customWidth="1"/>
    <col min="9734" max="9736" width="8.88671875" style="448"/>
    <col min="9737" max="9737" width="17" style="448" customWidth="1"/>
    <col min="9738" max="9738" width="37" style="448" customWidth="1"/>
    <col min="9739" max="9739" width="16.77734375" style="448" customWidth="1"/>
    <col min="9740" max="9984" width="8.88671875" style="448"/>
    <col min="9985" max="9985" width="15.33203125" style="448" customWidth="1"/>
    <col min="9986" max="9986" width="42.109375" style="448" customWidth="1"/>
    <col min="9987" max="9987" width="16.77734375" style="448" customWidth="1"/>
    <col min="9988" max="9988" width="22.21875" style="448" customWidth="1"/>
    <col min="9989" max="9989" width="9" style="448" customWidth="1"/>
    <col min="9990" max="9992" width="8.88671875" style="448"/>
    <col min="9993" max="9993" width="17" style="448" customWidth="1"/>
    <col min="9994" max="9994" width="37" style="448" customWidth="1"/>
    <col min="9995" max="9995" width="16.77734375" style="448" customWidth="1"/>
    <col min="9996" max="10240" width="8.88671875" style="448"/>
    <col min="10241" max="10241" width="15.33203125" style="448" customWidth="1"/>
    <col min="10242" max="10242" width="42.109375" style="448" customWidth="1"/>
    <col min="10243" max="10243" width="16.77734375" style="448" customWidth="1"/>
    <col min="10244" max="10244" width="22.21875" style="448" customWidth="1"/>
    <col min="10245" max="10245" width="9" style="448" customWidth="1"/>
    <col min="10246" max="10248" width="8.88671875" style="448"/>
    <col min="10249" max="10249" width="17" style="448" customWidth="1"/>
    <col min="10250" max="10250" width="37" style="448" customWidth="1"/>
    <col min="10251" max="10251" width="16.77734375" style="448" customWidth="1"/>
    <col min="10252" max="10496" width="8.88671875" style="448"/>
    <col min="10497" max="10497" width="15.33203125" style="448" customWidth="1"/>
    <col min="10498" max="10498" width="42.109375" style="448" customWidth="1"/>
    <col min="10499" max="10499" width="16.77734375" style="448" customWidth="1"/>
    <col min="10500" max="10500" width="22.21875" style="448" customWidth="1"/>
    <col min="10501" max="10501" width="9" style="448" customWidth="1"/>
    <col min="10502" max="10504" width="8.88671875" style="448"/>
    <col min="10505" max="10505" width="17" style="448" customWidth="1"/>
    <col min="10506" max="10506" width="37" style="448" customWidth="1"/>
    <col min="10507" max="10507" width="16.77734375" style="448" customWidth="1"/>
    <col min="10508" max="10752" width="8.88671875" style="448"/>
    <col min="10753" max="10753" width="15.33203125" style="448" customWidth="1"/>
    <col min="10754" max="10754" width="42.109375" style="448" customWidth="1"/>
    <col min="10755" max="10755" width="16.77734375" style="448" customWidth="1"/>
    <col min="10756" max="10756" width="22.21875" style="448" customWidth="1"/>
    <col min="10757" max="10757" width="9" style="448" customWidth="1"/>
    <col min="10758" max="10760" width="8.88671875" style="448"/>
    <col min="10761" max="10761" width="17" style="448" customWidth="1"/>
    <col min="10762" max="10762" width="37" style="448" customWidth="1"/>
    <col min="10763" max="10763" width="16.77734375" style="448" customWidth="1"/>
    <col min="10764" max="11008" width="8.88671875" style="448"/>
    <col min="11009" max="11009" width="15.33203125" style="448" customWidth="1"/>
    <col min="11010" max="11010" width="42.109375" style="448" customWidth="1"/>
    <col min="11011" max="11011" width="16.77734375" style="448" customWidth="1"/>
    <col min="11012" max="11012" width="22.21875" style="448" customWidth="1"/>
    <col min="11013" max="11013" width="9" style="448" customWidth="1"/>
    <col min="11014" max="11016" width="8.88671875" style="448"/>
    <col min="11017" max="11017" width="17" style="448" customWidth="1"/>
    <col min="11018" max="11018" width="37" style="448" customWidth="1"/>
    <col min="11019" max="11019" width="16.77734375" style="448" customWidth="1"/>
    <col min="11020" max="11264" width="8.88671875" style="448"/>
    <col min="11265" max="11265" width="15.33203125" style="448" customWidth="1"/>
    <col min="11266" max="11266" width="42.109375" style="448" customWidth="1"/>
    <col min="11267" max="11267" width="16.77734375" style="448" customWidth="1"/>
    <col min="11268" max="11268" width="22.21875" style="448" customWidth="1"/>
    <col min="11269" max="11269" width="9" style="448" customWidth="1"/>
    <col min="11270" max="11272" width="8.88671875" style="448"/>
    <col min="11273" max="11273" width="17" style="448" customWidth="1"/>
    <col min="11274" max="11274" width="37" style="448" customWidth="1"/>
    <col min="11275" max="11275" width="16.77734375" style="448" customWidth="1"/>
    <col min="11276" max="11520" width="8.88671875" style="448"/>
    <col min="11521" max="11521" width="15.33203125" style="448" customWidth="1"/>
    <col min="11522" max="11522" width="42.109375" style="448" customWidth="1"/>
    <col min="11523" max="11523" width="16.77734375" style="448" customWidth="1"/>
    <col min="11524" max="11524" width="22.21875" style="448" customWidth="1"/>
    <col min="11525" max="11525" width="9" style="448" customWidth="1"/>
    <col min="11526" max="11528" width="8.88671875" style="448"/>
    <col min="11529" max="11529" width="17" style="448" customWidth="1"/>
    <col min="11530" max="11530" width="37" style="448" customWidth="1"/>
    <col min="11531" max="11531" width="16.77734375" style="448" customWidth="1"/>
    <col min="11532" max="11776" width="8.88671875" style="448"/>
    <col min="11777" max="11777" width="15.33203125" style="448" customWidth="1"/>
    <col min="11778" max="11778" width="42.109375" style="448" customWidth="1"/>
    <col min="11779" max="11779" width="16.77734375" style="448" customWidth="1"/>
    <col min="11780" max="11780" width="22.21875" style="448" customWidth="1"/>
    <col min="11781" max="11781" width="9" style="448" customWidth="1"/>
    <col min="11782" max="11784" width="8.88671875" style="448"/>
    <col min="11785" max="11785" width="17" style="448" customWidth="1"/>
    <col min="11786" max="11786" width="37" style="448" customWidth="1"/>
    <col min="11787" max="11787" width="16.77734375" style="448" customWidth="1"/>
    <col min="11788" max="12032" width="8.88671875" style="448"/>
    <col min="12033" max="12033" width="15.33203125" style="448" customWidth="1"/>
    <col min="12034" max="12034" width="42.109375" style="448" customWidth="1"/>
    <col min="12035" max="12035" width="16.77734375" style="448" customWidth="1"/>
    <col min="12036" max="12036" width="22.21875" style="448" customWidth="1"/>
    <col min="12037" max="12037" width="9" style="448" customWidth="1"/>
    <col min="12038" max="12040" width="8.88671875" style="448"/>
    <col min="12041" max="12041" width="17" style="448" customWidth="1"/>
    <col min="12042" max="12042" width="37" style="448" customWidth="1"/>
    <col min="12043" max="12043" width="16.77734375" style="448" customWidth="1"/>
    <col min="12044" max="12288" width="8.88671875" style="448"/>
    <col min="12289" max="12289" width="15.33203125" style="448" customWidth="1"/>
    <col min="12290" max="12290" width="42.109375" style="448" customWidth="1"/>
    <col min="12291" max="12291" width="16.77734375" style="448" customWidth="1"/>
    <col min="12292" max="12292" width="22.21875" style="448" customWidth="1"/>
    <col min="12293" max="12293" width="9" style="448" customWidth="1"/>
    <col min="12294" max="12296" width="8.88671875" style="448"/>
    <col min="12297" max="12297" width="17" style="448" customWidth="1"/>
    <col min="12298" max="12298" width="37" style="448" customWidth="1"/>
    <col min="12299" max="12299" width="16.77734375" style="448" customWidth="1"/>
    <col min="12300" max="12544" width="8.88671875" style="448"/>
    <col min="12545" max="12545" width="15.33203125" style="448" customWidth="1"/>
    <col min="12546" max="12546" width="42.109375" style="448" customWidth="1"/>
    <col min="12547" max="12547" width="16.77734375" style="448" customWidth="1"/>
    <col min="12548" max="12548" width="22.21875" style="448" customWidth="1"/>
    <col min="12549" max="12549" width="9" style="448" customWidth="1"/>
    <col min="12550" max="12552" width="8.88671875" style="448"/>
    <col min="12553" max="12553" width="17" style="448" customWidth="1"/>
    <col min="12554" max="12554" width="37" style="448" customWidth="1"/>
    <col min="12555" max="12555" width="16.77734375" style="448" customWidth="1"/>
    <col min="12556" max="12800" width="8.88671875" style="448"/>
    <col min="12801" max="12801" width="15.33203125" style="448" customWidth="1"/>
    <col min="12802" max="12802" width="42.109375" style="448" customWidth="1"/>
    <col min="12803" max="12803" width="16.77734375" style="448" customWidth="1"/>
    <col min="12804" max="12804" width="22.21875" style="448" customWidth="1"/>
    <col min="12805" max="12805" width="9" style="448" customWidth="1"/>
    <col min="12806" max="12808" width="8.88671875" style="448"/>
    <col min="12809" max="12809" width="17" style="448" customWidth="1"/>
    <col min="12810" max="12810" width="37" style="448" customWidth="1"/>
    <col min="12811" max="12811" width="16.77734375" style="448" customWidth="1"/>
    <col min="12812" max="13056" width="8.88671875" style="448"/>
    <col min="13057" max="13057" width="15.33203125" style="448" customWidth="1"/>
    <col min="13058" max="13058" width="42.109375" style="448" customWidth="1"/>
    <col min="13059" max="13059" width="16.77734375" style="448" customWidth="1"/>
    <col min="13060" max="13060" width="22.21875" style="448" customWidth="1"/>
    <col min="13061" max="13061" width="9" style="448" customWidth="1"/>
    <col min="13062" max="13064" width="8.88671875" style="448"/>
    <col min="13065" max="13065" width="17" style="448" customWidth="1"/>
    <col min="13066" max="13066" width="37" style="448" customWidth="1"/>
    <col min="13067" max="13067" width="16.77734375" style="448" customWidth="1"/>
    <col min="13068" max="13312" width="8.88671875" style="448"/>
    <col min="13313" max="13313" width="15.33203125" style="448" customWidth="1"/>
    <col min="13314" max="13314" width="42.109375" style="448" customWidth="1"/>
    <col min="13315" max="13315" width="16.77734375" style="448" customWidth="1"/>
    <col min="13316" max="13316" width="22.21875" style="448" customWidth="1"/>
    <col min="13317" max="13317" width="9" style="448" customWidth="1"/>
    <col min="13318" max="13320" width="8.88671875" style="448"/>
    <col min="13321" max="13321" width="17" style="448" customWidth="1"/>
    <col min="13322" max="13322" width="37" style="448" customWidth="1"/>
    <col min="13323" max="13323" width="16.77734375" style="448" customWidth="1"/>
    <col min="13324" max="13568" width="8.88671875" style="448"/>
    <col min="13569" max="13569" width="15.33203125" style="448" customWidth="1"/>
    <col min="13570" max="13570" width="42.109375" style="448" customWidth="1"/>
    <col min="13571" max="13571" width="16.77734375" style="448" customWidth="1"/>
    <col min="13572" max="13572" width="22.21875" style="448" customWidth="1"/>
    <col min="13573" max="13573" width="9" style="448" customWidth="1"/>
    <col min="13574" max="13576" width="8.88671875" style="448"/>
    <col min="13577" max="13577" width="17" style="448" customWidth="1"/>
    <col min="13578" max="13578" width="37" style="448" customWidth="1"/>
    <col min="13579" max="13579" width="16.77734375" style="448" customWidth="1"/>
    <col min="13580" max="13824" width="8.88671875" style="448"/>
    <col min="13825" max="13825" width="15.33203125" style="448" customWidth="1"/>
    <col min="13826" max="13826" width="42.109375" style="448" customWidth="1"/>
    <col min="13827" max="13827" width="16.77734375" style="448" customWidth="1"/>
    <col min="13828" max="13828" width="22.21875" style="448" customWidth="1"/>
    <col min="13829" max="13829" width="9" style="448" customWidth="1"/>
    <col min="13830" max="13832" width="8.88671875" style="448"/>
    <col min="13833" max="13833" width="17" style="448" customWidth="1"/>
    <col min="13834" max="13834" width="37" style="448" customWidth="1"/>
    <col min="13835" max="13835" width="16.77734375" style="448" customWidth="1"/>
    <col min="13836" max="14080" width="8.88671875" style="448"/>
    <col min="14081" max="14081" width="15.33203125" style="448" customWidth="1"/>
    <col min="14082" max="14082" width="42.109375" style="448" customWidth="1"/>
    <col min="14083" max="14083" width="16.77734375" style="448" customWidth="1"/>
    <col min="14084" max="14084" width="22.21875" style="448" customWidth="1"/>
    <col min="14085" max="14085" width="9" style="448" customWidth="1"/>
    <col min="14086" max="14088" width="8.88671875" style="448"/>
    <col min="14089" max="14089" width="17" style="448" customWidth="1"/>
    <col min="14090" max="14090" width="37" style="448" customWidth="1"/>
    <col min="14091" max="14091" width="16.77734375" style="448" customWidth="1"/>
    <col min="14092" max="14336" width="8.88671875" style="448"/>
    <col min="14337" max="14337" width="15.33203125" style="448" customWidth="1"/>
    <col min="14338" max="14338" width="42.109375" style="448" customWidth="1"/>
    <col min="14339" max="14339" width="16.77734375" style="448" customWidth="1"/>
    <col min="14340" max="14340" width="22.21875" style="448" customWidth="1"/>
    <col min="14341" max="14341" width="9" style="448" customWidth="1"/>
    <col min="14342" max="14344" width="8.88671875" style="448"/>
    <col min="14345" max="14345" width="17" style="448" customWidth="1"/>
    <col min="14346" max="14346" width="37" style="448" customWidth="1"/>
    <col min="14347" max="14347" width="16.77734375" style="448" customWidth="1"/>
    <col min="14348" max="14592" width="8.88671875" style="448"/>
    <col min="14593" max="14593" width="15.33203125" style="448" customWidth="1"/>
    <col min="14594" max="14594" width="42.109375" style="448" customWidth="1"/>
    <col min="14595" max="14595" width="16.77734375" style="448" customWidth="1"/>
    <col min="14596" max="14596" width="22.21875" style="448" customWidth="1"/>
    <col min="14597" max="14597" width="9" style="448" customWidth="1"/>
    <col min="14598" max="14600" width="8.88671875" style="448"/>
    <col min="14601" max="14601" width="17" style="448" customWidth="1"/>
    <col min="14602" max="14602" width="37" style="448" customWidth="1"/>
    <col min="14603" max="14603" width="16.77734375" style="448" customWidth="1"/>
    <col min="14604" max="14848" width="8.88671875" style="448"/>
    <col min="14849" max="14849" width="15.33203125" style="448" customWidth="1"/>
    <col min="14850" max="14850" width="42.109375" style="448" customWidth="1"/>
    <col min="14851" max="14851" width="16.77734375" style="448" customWidth="1"/>
    <col min="14852" max="14852" width="22.21875" style="448" customWidth="1"/>
    <col min="14853" max="14853" width="9" style="448" customWidth="1"/>
    <col min="14854" max="14856" width="8.88671875" style="448"/>
    <col min="14857" max="14857" width="17" style="448" customWidth="1"/>
    <col min="14858" max="14858" width="37" style="448" customWidth="1"/>
    <col min="14859" max="14859" width="16.77734375" style="448" customWidth="1"/>
    <col min="14860" max="15104" width="8.88671875" style="448"/>
    <col min="15105" max="15105" width="15.33203125" style="448" customWidth="1"/>
    <col min="15106" max="15106" width="42.109375" style="448" customWidth="1"/>
    <col min="15107" max="15107" width="16.77734375" style="448" customWidth="1"/>
    <col min="15108" max="15108" width="22.21875" style="448" customWidth="1"/>
    <col min="15109" max="15109" width="9" style="448" customWidth="1"/>
    <col min="15110" max="15112" width="8.88671875" style="448"/>
    <col min="15113" max="15113" width="17" style="448" customWidth="1"/>
    <col min="15114" max="15114" width="37" style="448" customWidth="1"/>
    <col min="15115" max="15115" width="16.77734375" style="448" customWidth="1"/>
    <col min="15116" max="15360" width="8.88671875" style="448"/>
    <col min="15361" max="15361" width="15.33203125" style="448" customWidth="1"/>
    <col min="15362" max="15362" width="42.109375" style="448" customWidth="1"/>
    <col min="15363" max="15363" width="16.77734375" style="448" customWidth="1"/>
    <col min="15364" max="15364" width="22.21875" style="448" customWidth="1"/>
    <col min="15365" max="15365" width="9" style="448" customWidth="1"/>
    <col min="15366" max="15368" width="8.88671875" style="448"/>
    <col min="15369" max="15369" width="17" style="448" customWidth="1"/>
    <col min="15370" max="15370" width="37" style="448" customWidth="1"/>
    <col min="15371" max="15371" width="16.77734375" style="448" customWidth="1"/>
    <col min="15372" max="15616" width="8.88671875" style="448"/>
    <col min="15617" max="15617" width="15.33203125" style="448" customWidth="1"/>
    <col min="15618" max="15618" width="42.109375" style="448" customWidth="1"/>
    <col min="15619" max="15619" width="16.77734375" style="448" customWidth="1"/>
    <col min="15620" max="15620" width="22.21875" style="448" customWidth="1"/>
    <col min="15621" max="15621" width="9" style="448" customWidth="1"/>
    <col min="15622" max="15624" width="8.88671875" style="448"/>
    <col min="15625" max="15625" width="17" style="448" customWidth="1"/>
    <col min="15626" max="15626" width="37" style="448" customWidth="1"/>
    <col min="15627" max="15627" width="16.77734375" style="448" customWidth="1"/>
    <col min="15628" max="15872" width="8.88671875" style="448"/>
    <col min="15873" max="15873" width="15.33203125" style="448" customWidth="1"/>
    <col min="15874" max="15874" width="42.109375" style="448" customWidth="1"/>
    <col min="15875" max="15875" width="16.77734375" style="448" customWidth="1"/>
    <col min="15876" max="15876" width="22.21875" style="448" customWidth="1"/>
    <col min="15877" max="15877" width="9" style="448" customWidth="1"/>
    <col min="15878" max="15880" width="8.88671875" style="448"/>
    <col min="15881" max="15881" width="17" style="448" customWidth="1"/>
    <col min="15882" max="15882" width="37" style="448" customWidth="1"/>
    <col min="15883" max="15883" width="16.77734375" style="448" customWidth="1"/>
    <col min="15884" max="16128" width="8.88671875" style="448"/>
    <col min="16129" max="16129" width="15.33203125" style="448" customWidth="1"/>
    <col min="16130" max="16130" width="42.109375" style="448" customWidth="1"/>
    <col min="16131" max="16131" width="16.77734375" style="448" customWidth="1"/>
    <col min="16132" max="16132" width="22.21875" style="448" customWidth="1"/>
    <col min="16133" max="16133" width="9" style="448" customWidth="1"/>
    <col min="16134" max="16136" width="8.88671875" style="448"/>
    <col min="16137" max="16137" width="17" style="448" customWidth="1"/>
    <col min="16138" max="16138" width="37" style="448" customWidth="1"/>
    <col min="16139" max="16139" width="16.77734375" style="448" customWidth="1"/>
    <col min="16140" max="16384" width="8.88671875" style="448"/>
  </cols>
  <sheetData>
    <row r="2" spans="1:13" x14ac:dyDescent="0.3">
      <c r="A2" s="448" t="s">
        <v>511</v>
      </c>
    </row>
    <row r="3" spans="1:13" x14ac:dyDescent="0.3">
      <c r="A3" s="449" t="s">
        <v>512</v>
      </c>
      <c r="B3" s="449" t="s">
        <v>513</v>
      </c>
      <c r="C3" s="449" t="s">
        <v>514</v>
      </c>
      <c r="D3" s="450" t="s">
        <v>515</v>
      </c>
      <c r="E3" s="451" t="s">
        <v>72</v>
      </c>
      <c r="I3" s="449" t="s">
        <v>512</v>
      </c>
      <c r="J3" s="449" t="s">
        <v>513</v>
      </c>
      <c r="K3" s="449" t="s">
        <v>514</v>
      </c>
      <c r="L3" s="450" t="s">
        <v>515</v>
      </c>
      <c r="M3" s="451" t="s">
        <v>72</v>
      </c>
    </row>
    <row r="4" spans="1:13" x14ac:dyDescent="0.3">
      <c r="A4" s="516" t="s">
        <v>516</v>
      </c>
      <c r="B4" s="517"/>
      <c r="C4" s="517"/>
      <c r="D4" s="517"/>
      <c r="E4" s="518"/>
      <c r="I4" s="452" t="s">
        <v>517</v>
      </c>
      <c r="J4" s="452" t="s">
        <v>518</v>
      </c>
      <c r="K4" s="452" t="s">
        <v>519</v>
      </c>
      <c r="L4" s="452" t="s">
        <v>520</v>
      </c>
      <c r="M4" s="453">
        <v>134</v>
      </c>
    </row>
    <row r="5" spans="1:13" x14ac:dyDescent="0.3">
      <c r="A5" s="454" t="s">
        <v>521</v>
      </c>
      <c r="B5" s="455" t="s">
        <v>522</v>
      </c>
      <c r="C5" s="454" t="s">
        <v>523</v>
      </c>
      <c r="D5" s="452" t="s">
        <v>194</v>
      </c>
      <c r="E5" s="456">
        <v>1</v>
      </c>
      <c r="I5" s="452" t="s">
        <v>524</v>
      </c>
      <c r="J5" s="452" t="s">
        <v>525</v>
      </c>
      <c r="K5" s="452" t="s">
        <v>526</v>
      </c>
      <c r="L5" s="452" t="s">
        <v>520</v>
      </c>
      <c r="M5" s="452">
        <v>27</v>
      </c>
    </row>
    <row r="6" spans="1:13" x14ac:dyDescent="0.3">
      <c r="A6" s="454" t="s">
        <v>527</v>
      </c>
      <c r="B6" s="455" t="s">
        <v>193</v>
      </c>
      <c r="C6" s="454" t="s">
        <v>528</v>
      </c>
      <c r="D6" s="452" t="s">
        <v>194</v>
      </c>
      <c r="E6" s="456">
        <v>1</v>
      </c>
      <c r="I6" s="452" t="s">
        <v>529</v>
      </c>
      <c r="J6" s="457" t="s">
        <v>268</v>
      </c>
      <c r="K6" s="452" t="s">
        <v>530</v>
      </c>
      <c r="L6" s="452" t="s">
        <v>520</v>
      </c>
      <c r="M6" s="453">
        <v>74</v>
      </c>
    </row>
    <row r="7" spans="1:13" x14ac:dyDescent="0.3">
      <c r="A7" s="516" t="s">
        <v>531</v>
      </c>
      <c r="B7" s="517"/>
      <c r="C7" s="517"/>
      <c r="D7" s="517"/>
      <c r="E7" s="518"/>
      <c r="I7" s="452" t="s">
        <v>532</v>
      </c>
      <c r="J7" s="452" t="s">
        <v>533</v>
      </c>
      <c r="K7" s="452" t="s">
        <v>534</v>
      </c>
      <c r="L7" s="452" t="s">
        <v>535</v>
      </c>
      <c r="M7" s="453">
        <v>13</v>
      </c>
    </row>
    <row r="8" spans="1:13" x14ac:dyDescent="0.3">
      <c r="A8" s="429" t="s">
        <v>536</v>
      </c>
      <c r="B8" s="458" t="s">
        <v>114</v>
      </c>
      <c r="C8" s="429" t="s">
        <v>537</v>
      </c>
      <c r="D8" s="429" t="s">
        <v>538</v>
      </c>
      <c r="E8" s="459">
        <v>1</v>
      </c>
      <c r="I8" s="452" t="s">
        <v>539</v>
      </c>
      <c r="J8" s="452" t="s">
        <v>540</v>
      </c>
      <c r="K8" s="452" t="s">
        <v>534</v>
      </c>
      <c r="L8" s="452" t="s">
        <v>535</v>
      </c>
      <c r="M8" s="453">
        <v>60</v>
      </c>
    </row>
    <row r="9" spans="1:13" x14ac:dyDescent="0.3">
      <c r="A9" s="429" t="s">
        <v>541</v>
      </c>
      <c r="B9" s="458" t="s">
        <v>542</v>
      </c>
      <c r="C9" s="429" t="s">
        <v>543</v>
      </c>
      <c r="D9" s="429" t="s">
        <v>538</v>
      </c>
      <c r="E9" s="459">
        <v>1</v>
      </c>
      <c r="I9" s="452" t="s">
        <v>544</v>
      </c>
      <c r="J9" s="452" t="s">
        <v>545</v>
      </c>
      <c r="K9" s="452" t="s">
        <v>534</v>
      </c>
      <c r="L9" s="452" t="s">
        <v>535</v>
      </c>
      <c r="M9" s="452">
        <v>42</v>
      </c>
    </row>
    <row r="10" spans="1:13" x14ac:dyDescent="0.3">
      <c r="A10" s="429" t="s">
        <v>546</v>
      </c>
      <c r="B10" s="429" t="s">
        <v>547</v>
      </c>
      <c r="C10" s="429" t="s">
        <v>543</v>
      </c>
      <c r="D10" s="429" t="s">
        <v>538</v>
      </c>
      <c r="E10" s="459">
        <v>2</v>
      </c>
      <c r="I10" s="452" t="s">
        <v>548</v>
      </c>
      <c r="J10" s="452" t="s">
        <v>549</v>
      </c>
      <c r="K10" s="452" t="s">
        <v>550</v>
      </c>
      <c r="L10" s="452" t="s">
        <v>520</v>
      </c>
      <c r="M10" s="452">
        <v>73</v>
      </c>
    </row>
    <row r="11" spans="1:13" x14ac:dyDescent="0.3">
      <c r="A11" s="429" t="s">
        <v>551</v>
      </c>
      <c r="B11" s="429" t="s">
        <v>552</v>
      </c>
      <c r="C11" s="429" t="s">
        <v>543</v>
      </c>
      <c r="D11" s="429" t="s">
        <v>538</v>
      </c>
      <c r="E11" s="459">
        <v>2</v>
      </c>
      <c r="I11" s="452" t="s">
        <v>553</v>
      </c>
      <c r="J11" s="452" t="s">
        <v>554</v>
      </c>
      <c r="K11" s="452" t="s">
        <v>550</v>
      </c>
      <c r="L11" s="452" t="s">
        <v>520</v>
      </c>
      <c r="M11" s="452">
        <v>96</v>
      </c>
    </row>
    <row r="12" spans="1:13" x14ac:dyDescent="0.3">
      <c r="A12" s="429" t="s">
        <v>555</v>
      </c>
      <c r="B12" s="429" t="s">
        <v>556</v>
      </c>
      <c r="C12" s="429" t="s">
        <v>543</v>
      </c>
      <c r="D12" s="429" t="s">
        <v>538</v>
      </c>
      <c r="E12" s="459">
        <v>2</v>
      </c>
      <c r="I12" s="452" t="s">
        <v>557</v>
      </c>
      <c r="J12" s="452" t="s">
        <v>558</v>
      </c>
      <c r="K12" s="452" t="s">
        <v>550</v>
      </c>
      <c r="L12" s="452" t="s">
        <v>520</v>
      </c>
      <c r="M12" s="452">
        <v>95</v>
      </c>
    </row>
    <row r="13" spans="1:13" x14ac:dyDescent="0.3">
      <c r="A13" s="429" t="s">
        <v>559</v>
      </c>
      <c r="B13" s="458" t="s">
        <v>560</v>
      </c>
      <c r="C13" s="429" t="s">
        <v>543</v>
      </c>
      <c r="D13" s="429" t="s">
        <v>538</v>
      </c>
      <c r="E13" s="459">
        <v>1</v>
      </c>
      <c r="I13" s="452" t="s">
        <v>561</v>
      </c>
      <c r="J13" s="452" t="s">
        <v>562</v>
      </c>
      <c r="K13" s="452" t="s">
        <v>563</v>
      </c>
      <c r="L13" s="452" t="s">
        <v>520</v>
      </c>
      <c r="M13" s="453">
        <v>35</v>
      </c>
    </row>
    <row r="14" spans="1:13" s="460" customFormat="1" x14ac:dyDescent="0.3">
      <c r="A14" s="429" t="s">
        <v>564</v>
      </c>
      <c r="B14" s="458" t="s">
        <v>565</v>
      </c>
      <c r="C14" s="429" t="s">
        <v>566</v>
      </c>
      <c r="D14" s="429" t="s">
        <v>567</v>
      </c>
      <c r="E14" s="459">
        <v>5</v>
      </c>
      <c r="I14" s="452" t="s">
        <v>568</v>
      </c>
      <c r="J14" s="457" t="s">
        <v>212</v>
      </c>
      <c r="K14" s="452" t="s">
        <v>569</v>
      </c>
      <c r="L14" s="452" t="s">
        <v>520</v>
      </c>
      <c r="M14" s="453">
        <v>15</v>
      </c>
    </row>
    <row r="15" spans="1:13" s="460" customFormat="1" x14ac:dyDescent="0.3">
      <c r="A15" s="429" t="s">
        <v>570</v>
      </c>
      <c r="B15" s="458" t="s">
        <v>571</v>
      </c>
      <c r="C15" s="429" t="s">
        <v>572</v>
      </c>
      <c r="D15" s="429" t="s">
        <v>573</v>
      </c>
      <c r="E15" s="459">
        <v>10</v>
      </c>
      <c r="I15" s="452" t="s">
        <v>574</v>
      </c>
      <c r="J15" s="452" t="s">
        <v>575</v>
      </c>
      <c r="K15" s="452" t="s">
        <v>576</v>
      </c>
      <c r="L15" s="452" t="s">
        <v>520</v>
      </c>
      <c r="M15" s="453">
        <v>105</v>
      </c>
    </row>
    <row r="16" spans="1:13" x14ac:dyDescent="0.3">
      <c r="A16" s="429" t="s">
        <v>577</v>
      </c>
      <c r="B16" s="458" t="s">
        <v>578</v>
      </c>
      <c r="C16" s="429" t="s">
        <v>579</v>
      </c>
      <c r="D16" s="429" t="s">
        <v>580</v>
      </c>
      <c r="E16" s="459">
        <v>3</v>
      </c>
      <c r="I16" s="452" t="s">
        <v>581</v>
      </c>
      <c r="J16" s="452" t="s">
        <v>582</v>
      </c>
      <c r="K16" s="452" t="s">
        <v>576</v>
      </c>
      <c r="L16" s="452" t="s">
        <v>520</v>
      </c>
      <c r="M16" s="452">
        <v>48</v>
      </c>
    </row>
    <row r="17" spans="1:13" x14ac:dyDescent="0.3">
      <c r="A17" s="429" t="s">
        <v>583</v>
      </c>
      <c r="B17" s="458" t="s">
        <v>584</v>
      </c>
      <c r="C17" s="429" t="s">
        <v>579</v>
      </c>
      <c r="D17" s="429" t="s">
        <v>538</v>
      </c>
      <c r="E17" s="459">
        <v>4</v>
      </c>
      <c r="I17" s="452" t="s">
        <v>585</v>
      </c>
      <c r="J17" s="452" t="s">
        <v>586</v>
      </c>
      <c r="K17" s="452" t="s">
        <v>576</v>
      </c>
      <c r="L17" s="452" t="s">
        <v>520</v>
      </c>
      <c r="M17" s="452">
        <v>8</v>
      </c>
    </row>
    <row r="18" spans="1:13" x14ac:dyDescent="0.3">
      <c r="A18" s="519" t="s">
        <v>587</v>
      </c>
      <c r="B18" s="519"/>
      <c r="C18" s="519"/>
      <c r="D18" s="520"/>
      <c r="E18" s="519"/>
      <c r="I18" s="452" t="s">
        <v>588</v>
      </c>
      <c r="J18" s="452" t="s">
        <v>589</v>
      </c>
      <c r="K18" s="452" t="s">
        <v>590</v>
      </c>
      <c r="L18" s="452" t="s">
        <v>520</v>
      </c>
      <c r="M18" s="453">
        <v>17</v>
      </c>
    </row>
    <row r="19" spans="1:13" x14ac:dyDescent="0.3">
      <c r="A19" s="452" t="s">
        <v>591</v>
      </c>
      <c r="B19" s="452" t="s">
        <v>592</v>
      </c>
      <c r="C19" s="452" t="s">
        <v>593</v>
      </c>
      <c r="D19" s="452" t="s">
        <v>520</v>
      </c>
      <c r="E19" s="453">
        <v>24</v>
      </c>
      <c r="I19" s="452" t="s">
        <v>594</v>
      </c>
      <c r="J19" s="452" t="s">
        <v>595</v>
      </c>
      <c r="K19" s="452" t="s">
        <v>590</v>
      </c>
      <c r="L19" s="452" t="s">
        <v>520</v>
      </c>
      <c r="M19" s="453">
        <v>42</v>
      </c>
    </row>
    <row r="20" spans="1:13" x14ac:dyDescent="0.3">
      <c r="A20" s="452" t="s">
        <v>596</v>
      </c>
      <c r="B20" s="452" t="s">
        <v>597</v>
      </c>
      <c r="C20" s="452" t="s">
        <v>598</v>
      </c>
      <c r="D20" s="452" t="s">
        <v>520</v>
      </c>
      <c r="E20" s="452">
        <v>53</v>
      </c>
      <c r="I20" s="452" t="s">
        <v>599</v>
      </c>
      <c r="J20" s="457" t="s">
        <v>213</v>
      </c>
      <c r="K20" s="452" t="s">
        <v>600</v>
      </c>
      <c r="L20" s="452" t="s">
        <v>520</v>
      </c>
      <c r="M20" s="452">
        <v>13</v>
      </c>
    </row>
    <row r="21" spans="1:13" x14ac:dyDescent="0.3">
      <c r="A21" s="452" t="s">
        <v>601</v>
      </c>
      <c r="B21" s="457" t="s">
        <v>202</v>
      </c>
      <c r="C21" s="452" t="s">
        <v>602</v>
      </c>
      <c r="D21" s="452" t="s">
        <v>520</v>
      </c>
      <c r="E21" s="453">
        <v>33</v>
      </c>
      <c r="I21" s="452" t="s">
        <v>603</v>
      </c>
      <c r="J21" s="457" t="s">
        <v>214</v>
      </c>
      <c r="K21" s="452" t="s">
        <v>604</v>
      </c>
      <c r="L21" s="452" t="s">
        <v>520</v>
      </c>
      <c r="M21" s="452">
        <v>22</v>
      </c>
    </row>
    <row r="22" spans="1:13" x14ac:dyDescent="0.3">
      <c r="A22" s="452" t="s">
        <v>605</v>
      </c>
      <c r="B22" s="452" t="s">
        <v>606</v>
      </c>
      <c r="C22" s="452" t="s">
        <v>607</v>
      </c>
      <c r="D22" s="452" t="s">
        <v>520</v>
      </c>
      <c r="E22" s="453">
        <v>13</v>
      </c>
      <c r="I22" s="452" t="s">
        <v>608</v>
      </c>
      <c r="J22" s="457" t="s">
        <v>215</v>
      </c>
      <c r="K22" s="452" t="s">
        <v>609</v>
      </c>
      <c r="L22" s="452" t="s">
        <v>520</v>
      </c>
      <c r="M22" s="453">
        <v>15</v>
      </c>
    </row>
    <row r="23" spans="1:13" x14ac:dyDescent="0.3">
      <c r="A23" s="452" t="s">
        <v>610</v>
      </c>
      <c r="B23" s="452" t="s">
        <v>611</v>
      </c>
      <c r="C23" s="452" t="s">
        <v>607</v>
      </c>
      <c r="D23" s="452" t="s">
        <v>520</v>
      </c>
      <c r="E23" s="453">
        <v>26</v>
      </c>
      <c r="I23" s="452" t="s">
        <v>612</v>
      </c>
      <c r="J23" s="457" t="s">
        <v>216</v>
      </c>
      <c r="K23" s="452" t="s">
        <v>613</v>
      </c>
      <c r="L23" s="452" t="s">
        <v>520</v>
      </c>
      <c r="M23" s="452">
        <v>12</v>
      </c>
    </row>
    <row r="24" spans="1:13" x14ac:dyDescent="0.3">
      <c r="A24" s="452" t="s">
        <v>614</v>
      </c>
      <c r="B24" s="457" t="s">
        <v>203</v>
      </c>
      <c r="C24" s="452" t="s">
        <v>615</v>
      </c>
      <c r="D24" s="452" t="s">
        <v>520</v>
      </c>
      <c r="E24" s="453">
        <v>7</v>
      </c>
      <c r="I24" s="452" t="s">
        <v>616</v>
      </c>
      <c r="J24" s="452" t="s">
        <v>617</v>
      </c>
      <c r="K24" s="452" t="s">
        <v>618</v>
      </c>
      <c r="L24" s="452" t="s">
        <v>520</v>
      </c>
      <c r="M24" s="452">
        <v>20</v>
      </c>
    </row>
    <row r="25" spans="1:13" x14ac:dyDescent="0.3">
      <c r="A25" s="461" t="s">
        <v>619</v>
      </c>
      <c r="B25" s="462" t="s">
        <v>204</v>
      </c>
      <c r="C25" s="452" t="s">
        <v>620</v>
      </c>
      <c r="D25" s="452" t="s">
        <v>520</v>
      </c>
      <c r="E25" s="461">
        <v>21</v>
      </c>
      <c r="I25" s="452" t="s">
        <v>621</v>
      </c>
      <c r="J25" s="452" t="s">
        <v>622</v>
      </c>
      <c r="K25" s="452" t="s">
        <v>618</v>
      </c>
      <c r="L25" s="452" t="s">
        <v>520</v>
      </c>
      <c r="M25" s="452">
        <v>25</v>
      </c>
    </row>
    <row r="26" spans="1:13" x14ac:dyDescent="0.3">
      <c r="A26" s="452" t="s">
        <v>623</v>
      </c>
      <c r="B26" s="452" t="s">
        <v>624</v>
      </c>
      <c r="C26" s="452" t="s">
        <v>625</v>
      </c>
      <c r="D26" s="452" t="s">
        <v>520</v>
      </c>
      <c r="E26" s="463">
        <v>26</v>
      </c>
      <c r="I26" s="452" t="s">
        <v>626</v>
      </c>
      <c r="J26" s="452" t="s">
        <v>627</v>
      </c>
      <c r="K26" s="452" t="s">
        <v>618</v>
      </c>
      <c r="L26" s="452" t="s">
        <v>520</v>
      </c>
      <c r="M26" s="452">
        <v>24</v>
      </c>
    </row>
    <row r="27" spans="1:13" x14ac:dyDescent="0.3">
      <c r="A27" s="461" t="s">
        <v>628</v>
      </c>
      <c r="B27" s="461" t="s">
        <v>629</v>
      </c>
      <c r="C27" s="452" t="s">
        <v>625</v>
      </c>
      <c r="D27" s="452" t="s">
        <v>520</v>
      </c>
      <c r="E27" s="461">
        <v>48</v>
      </c>
      <c r="I27" s="452" t="s">
        <v>630</v>
      </c>
      <c r="J27" s="452" t="s">
        <v>631</v>
      </c>
      <c r="K27" s="452" t="s">
        <v>618</v>
      </c>
      <c r="L27" s="452" t="s">
        <v>520</v>
      </c>
      <c r="M27" s="452">
        <v>24</v>
      </c>
    </row>
    <row r="28" spans="1:13" x14ac:dyDescent="0.3">
      <c r="A28" s="452" t="s">
        <v>632</v>
      </c>
      <c r="B28" s="452" t="s">
        <v>633</v>
      </c>
      <c r="C28" s="452" t="s">
        <v>625</v>
      </c>
      <c r="D28" s="452" t="s">
        <v>520</v>
      </c>
      <c r="E28" s="453">
        <v>7</v>
      </c>
      <c r="I28" s="429" t="s">
        <v>634</v>
      </c>
      <c r="J28" s="458" t="s">
        <v>635</v>
      </c>
      <c r="K28" s="429" t="s">
        <v>636</v>
      </c>
      <c r="L28" s="429" t="s">
        <v>520</v>
      </c>
      <c r="M28" s="429">
        <v>516</v>
      </c>
    </row>
    <row r="29" spans="1:13" x14ac:dyDescent="0.3">
      <c r="A29" s="461" t="s">
        <v>637</v>
      </c>
      <c r="B29" s="461" t="s">
        <v>638</v>
      </c>
      <c r="C29" s="452" t="s">
        <v>625</v>
      </c>
      <c r="D29" s="452" t="s">
        <v>520</v>
      </c>
      <c r="E29" s="461">
        <v>47</v>
      </c>
      <c r="I29" s="519" t="s">
        <v>639</v>
      </c>
      <c r="J29" s="519"/>
      <c r="K29" s="519"/>
      <c r="L29" s="520"/>
      <c r="M29" s="519"/>
    </row>
    <row r="30" spans="1:13" x14ac:dyDescent="0.3">
      <c r="A30" s="461" t="s">
        <v>640</v>
      </c>
      <c r="B30" s="461" t="s">
        <v>641</v>
      </c>
      <c r="C30" s="452" t="s">
        <v>625</v>
      </c>
      <c r="D30" s="452" t="s">
        <v>520</v>
      </c>
      <c r="E30" s="461">
        <v>25</v>
      </c>
      <c r="I30" s="452" t="s">
        <v>642</v>
      </c>
      <c r="J30" s="457" t="s">
        <v>217</v>
      </c>
      <c r="K30" s="452" t="s">
        <v>643</v>
      </c>
      <c r="L30" s="457"/>
      <c r="M30" s="452">
        <v>2655</v>
      </c>
    </row>
    <row r="31" spans="1:13" x14ac:dyDescent="0.3">
      <c r="A31" s="461" t="s">
        <v>644</v>
      </c>
      <c r="B31" s="461" t="s">
        <v>645</v>
      </c>
      <c r="C31" s="452" t="s">
        <v>625</v>
      </c>
      <c r="D31" s="452" t="s">
        <v>520</v>
      </c>
      <c r="E31" s="461">
        <v>9</v>
      </c>
      <c r="I31" s="452" t="s">
        <v>646</v>
      </c>
      <c r="J31" s="452" t="s">
        <v>647</v>
      </c>
      <c r="K31" s="452" t="s">
        <v>643</v>
      </c>
      <c r="L31" s="452"/>
      <c r="M31" s="452">
        <v>1562</v>
      </c>
    </row>
    <row r="32" spans="1:13" x14ac:dyDescent="0.3">
      <c r="A32" s="461" t="s">
        <v>648</v>
      </c>
      <c r="B32" s="461" t="s">
        <v>649</v>
      </c>
      <c r="C32" s="452" t="s">
        <v>625</v>
      </c>
      <c r="D32" s="452" t="s">
        <v>520</v>
      </c>
      <c r="E32" s="461">
        <v>44</v>
      </c>
      <c r="I32" s="452" t="s">
        <v>650</v>
      </c>
      <c r="J32" s="452" t="s">
        <v>651</v>
      </c>
      <c r="K32" s="452" t="s">
        <v>652</v>
      </c>
      <c r="L32" s="452"/>
      <c r="M32" s="452">
        <v>4384</v>
      </c>
    </row>
    <row r="33" spans="1:13" x14ac:dyDescent="0.3">
      <c r="A33" s="452" t="s">
        <v>653</v>
      </c>
      <c r="B33" s="452" t="s">
        <v>654</v>
      </c>
      <c r="C33" s="452" t="s">
        <v>625</v>
      </c>
      <c r="D33" s="452" t="s">
        <v>520</v>
      </c>
      <c r="E33" s="452">
        <v>17</v>
      </c>
      <c r="I33" s="464" t="s">
        <v>655</v>
      </c>
      <c r="J33" s="464" t="s">
        <v>656</v>
      </c>
      <c r="K33" s="464" t="s">
        <v>657</v>
      </c>
      <c r="L33" s="464"/>
      <c r="M33" s="452">
        <v>75</v>
      </c>
    </row>
    <row r="34" spans="1:13" x14ac:dyDescent="0.3">
      <c r="A34" s="452" t="s">
        <v>658</v>
      </c>
      <c r="B34" s="452" t="s">
        <v>659</v>
      </c>
      <c r="C34" s="452" t="s">
        <v>625</v>
      </c>
      <c r="D34" s="452" t="s">
        <v>520</v>
      </c>
      <c r="E34" s="453">
        <v>24</v>
      </c>
      <c r="I34" s="464" t="s">
        <v>660</v>
      </c>
      <c r="J34" s="464" t="s">
        <v>661</v>
      </c>
      <c r="K34" s="464" t="s">
        <v>657</v>
      </c>
      <c r="L34" s="464"/>
      <c r="M34" s="452">
        <v>75</v>
      </c>
    </row>
    <row r="35" spans="1:13" x14ac:dyDescent="0.3">
      <c r="A35" s="452" t="s">
        <v>662</v>
      </c>
      <c r="B35" s="452" t="s">
        <v>663</v>
      </c>
      <c r="C35" s="452" t="s">
        <v>625</v>
      </c>
      <c r="D35" s="452" t="s">
        <v>520</v>
      </c>
      <c r="E35" s="453">
        <v>26</v>
      </c>
      <c r="I35" s="464" t="s">
        <v>664</v>
      </c>
      <c r="J35" s="464" t="s">
        <v>665</v>
      </c>
      <c r="K35" s="464" t="s">
        <v>657</v>
      </c>
      <c r="L35" s="464"/>
      <c r="M35" s="452">
        <v>75</v>
      </c>
    </row>
    <row r="36" spans="1:13" x14ac:dyDescent="0.3">
      <c r="A36" s="452" t="s">
        <v>666</v>
      </c>
      <c r="B36" s="457" t="s">
        <v>206</v>
      </c>
      <c r="C36" s="452" t="s">
        <v>667</v>
      </c>
      <c r="D36" s="452" t="s">
        <v>520</v>
      </c>
      <c r="E36" s="453">
        <v>12</v>
      </c>
      <c r="I36" s="464" t="s">
        <v>668</v>
      </c>
      <c r="J36" s="464" t="s">
        <v>669</v>
      </c>
      <c r="K36" s="464" t="s">
        <v>670</v>
      </c>
      <c r="L36" s="464"/>
      <c r="M36" s="452">
        <v>3700</v>
      </c>
    </row>
    <row r="37" spans="1:13" x14ac:dyDescent="0.3">
      <c r="A37" s="452" t="s">
        <v>671</v>
      </c>
      <c r="B37" s="452" t="s">
        <v>672</v>
      </c>
      <c r="C37" s="452" t="s">
        <v>673</v>
      </c>
      <c r="D37" s="452" t="s">
        <v>520</v>
      </c>
      <c r="E37" s="452">
        <v>50</v>
      </c>
      <c r="I37" s="452" t="s">
        <v>674</v>
      </c>
      <c r="J37" s="452" t="s">
        <v>675</v>
      </c>
      <c r="K37" s="452" t="s">
        <v>676</v>
      </c>
      <c r="L37" s="452"/>
      <c r="M37" s="452">
        <v>270</v>
      </c>
    </row>
    <row r="38" spans="1:13" x14ac:dyDescent="0.3">
      <c r="A38" s="452" t="s">
        <v>677</v>
      </c>
      <c r="B38" s="452" t="s">
        <v>678</v>
      </c>
      <c r="C38" s="452" t="s">
        <v>679</v>
      </c>
      <c r="D38" s="452" t="s">
        <v>520</v>
      </c>
      <c r="E38" s="453">
        <v>105</v>
      </c>
      <c r="I38" s="464" t="s">
        <v>680</v>
      </c>
      <c r="J38" s="452" t="s">
        <v>681</v>
      </c>
      <c r="K38" s="452" t="s">
        <v>676</v>
      </c>
      <c r="L38" s="452"/>
      <c r="M38" s="452">
        <v>480</v>
      </c>
    </row>
    <row r="39" spans="1:13" x14ac:dyDescent="0.3">
      <c r="A39" s="429" t="s">
        <v>682</v>
      </c>
      <c r="B39" s="429" t="s">
        <v>683</v>
      </c>
      <c r="C39" s="429" t="s">
        <v>684</v>
      </c>
      <c r="D39" s="429" t="s">
        <v>520</v>
      </c>
      <c r="E39" s="459">
        <v>18</v>
      </c>
      <c r="I39" s="452" t="s">
        <v>685</v>
      </c>
      <c r="J39" s="452" t="s">
        <v>686</v>
      </c>
      <c r="K39" s="452" t="s">
        <v>676</v>
      </c>
      <c r="L39" s="452"/>
      <c r="M39" s="452">
        <v>270</v>
      </c>
    </row>
    <row r="40" spans="1:13" s="465" customFormat="1" x14ac:dyDescent="0.3">
      <c r="A40" s="452" t="s">
        <v>687</v>
      </c>
      <c r="B40" s="457" t="s">
        <v>207</v>
      </c>
      <c r="C40" s="452" t="s">
        <v>684</v>
      </c>
      <c r="D40" s="452" t="s">
        <v>520</v>
      </c>
      <c r="E40" s="453">
        <v>16</v>
      </c>
      <c r="I40" s="464" t="s">
        <v>688</v>
      </c>
      <c r="J40" s="452" t="s">
        <v>689</v>
      </c>
      <c r="K40" s="452" t="s">
        <v>676</v>
      </c>
      <c r="L40" s="452"/>
      <c r="M40" s="452">
        <v>480</v>
      </c>
    </row>
    <row r="41" spans="1:13" x14ac:dyDescent="0.3">
      <c r="A41" s="452" t="s">
        <v>690</v>
      </c>
      <c r="B41" s="457" t="s">
        <v>208</v>
      </c>
      <c r="C41" s="452" t="s">
        <v>691</v>
      </c>
      <c r="D41" s="452" t="s">
        <v>520</v>
      </c>
      <c r="E41" s="453">
        <v>25</v>
      </c>
      <c r="I41" s="452" t="s">
        <v>692</v>
      </c>
      <c r="J41" s="452" t="s">
        <v>693</v>
      </c>
      <c r="K41" s="452" t="s">
        <v>676</v>
      </c>
      <c r="L41" s="452"/>
      <c r="M41" s="452">
        <v>270</v>
      </c>
    </row>
    <row r="42" spans="1:13" x14ac:dyDescent="0.3">
      <c r="A42" s="452" t="s">
        <v>694</v>
      </c>
      <c r="B42" s="452" t="s">
        <v>695</v>
      </c>
      <c r="C42" s="452" t="s">
        <v>696</v>
      </c>
      <c r="D42" s="452" t="s">
        <v>520</v>
      </c>
      <c r="E42" s="452">
        <v>12</v>
      </c>
      <c r="I42" s="464" t="s">
        <v>697</v>
      </c>
      <c r="J42" s="452" t="s">
        <v>698</v>
      </c>
      <c r="K42" s="452" t="s">
        <v>676</v>
      </c>
      <c r="L42" s="452"/>
      <c r="M42" s="452">
        <v>480</v>
      </c>
    </row>
    <row r="43" spans="1:13" x14ac:dyDescent="0.3">
      <c r="A43" s="429" t="s">
        <v>699</v>
      </c>
      <c r="B43" s="458" t="s">
        <v>209</v>
      </c>
      <c r="C43" s="452" t="s">
        <v>700</v>
      </c>
      <c r="D43" s="452" t="s">
        <v>520</v>
      </c>
      <c r="E43" s="429">
        <v>13</v>
      </c>
      <c r="I43" s="452" t="s">
        <v>701</v>
      </c>
      <c r="J43" s="452" t="s">
        <v>702</v>
      </c>
      <c r="K43" s="452" t="s">
        <v>676</v>
      </c>
      <c r="L43" s="452"/>
      <c r="M43" s="452">
        <v>750</v>
      </c>
    </row>
    <row r="44" spans="1:13" s="465" customFormat="1" x14ac:dyDescent="0.3">
      <c r="A44" s="429" t="s">
        <v>703</v>
      </c>
      <c r="B44" s="458" t="s">
        <v>704</v>
      </c>
      <c r="C44" s="429" t="s">
        <v>705</v>
      </c>
      <c r="D44" s="429" t="s">
        <v>520</v>
      </c>
      <c r="E44" s="429">
        <v>189</v>
      </c>
      <c r="I44" s="452" t="s">
        <v>706</v>
      </c>
      <c r="J44" s="452" t="s">
        <v>707</v>
      </c>
      <c r="K44" s="452" t="s">
        <v>676</v>
      </c>
      <c r="L44" s="452"/>
      <c r="M44" s="452">
        <v>750</v>
      </c>
    </row>
    <row r="45" spans="1:13" x14ac:dyDescent="0.3">
      <c r="A45" s="452" t="s">
        <v>708</v>
      </c>
      <c r="B45" s="452" t="s">
        <v>709</v>
      </c>
      <c r="C45" s="452" t="s">
        <v>710</v>
      </c>
      <c r="D45" s="452" t="s">
        <v>520</v>
      </c>
      <c r="E45" s="453">
        <v>9</v>
      </c>
    </row>
    <row r="46" spans="1:13" x14ac:dyDescent="0.3">
      <c r="A46" s="452" t="s">
        <v>711</v>
      </c>
      <c r="B46" s="457" t="s">
        <v>210</v>
      </c>
      <c r="C46" s="452" t="s">
        <v>710</v>
      </c>
      <c r="D46" s="452" t="s">
        <v>520</v>
      </c>
      <c r="E46" s="453">
        <v>42</v>
      </c>
    </row>
    <row r="47" spans="1:13" x14ac:dyDescent="0.3">
      <c r="A47" s="429" t="s">
        <v>712</v>
      </c>
      <c r="B47" s="458" t="s">
        <v>713</v>
      </c>
      <c r="C47" s="429" t="s">
        <v>714</v>
      </c>
      <c r="D47" s="452" t="s">
        <v>520</v>
      </c>
      <c r="E47" s="453">
        <v>355</v>
      </c>
    </row>
    <row r="48" spans="1:13" x14ac:dyDescent="0.3">
      <c r="A48" s="429" t="s">
        <v>715</v>
      </c>
      <c r="B48" s="458" t="s">
        <v>716</v>
      </c>
      <c r="C48" s="429" t="s">
        <v>714</v>
      </c>
      <c r="D48" s="452" t="s">
        <v>520</v>
      </c>
      <c r="E48" s="463">
        <v>353</v>
      </c>
    </row>
    <row r="49" spans="1:5" x14ac:dyDescent="0.3">
      <c r="A49" s="461" t="s">
        <v>717</v>
      </c>
      <c r="B49" s="462" t="s">
        <v>211</v>
      </c>
      <c r="C49" s="461" t="s">
        <v>714</v>
      </c>
      <c r="D49" s="452" t="s">
        <v>520</v>
      </c>
      <c r="E49" s="453">
        <v>54</v>
      </c>
    </row>
    <row r="50" spans="1:5" x14ac:dyDescent="0.3">
      <c r="A50" s="452" t="s">
        <v>718</v>
      </c>
      <c r="B50" s="458" t="s">
        <v>250</v>
      </c>
      <c r="C50" s="452" t="s">
        <v>719</v>
      </c>
      <c r="D50" s="452" t="s">
        <v>520</v>
      </c>
      <c r="E50" s="453">
        <v>59</v>
      </c>
    </row>
    <row r="51" spans="1:5" x14ac:dyDescent="0.3">
      <c r="A51" s="452" t="s">
        <v>720</v>
      </c>
      <c r="B51" s="452" t="s">
        <v>721</v>
      </c>
      <c r="C51" s="452" t="s">
        <v>722</v>
      </c>
      <c r="D51" s="452" t="s">
        <v>520</v>
      </c>
      <c r="E51" s="453">
        <v>30</v>
      </c>
    </row>
    <row r="52" spans="1:5" s="465" customFormat="1" x14ac:dyDescent="0.3">
      <c r="A52" s="452" t="s">
        <v>723</v>
      </c>
      <c r="B52" s="452" t="s">
        <v>724</v>
      </c>
      <c r="C52" s="452" t="s">
        <v>725</v>
      </c>
      <c r="D52" s="452" t="s">
        <v>520</v>
      </c>
      <c r="E52" s="452">
        <v>25</v>
      </c>
    </row>
    <row r="53" spans="1:5" x14ac:dyDescent="0.3">
      <c r="A53" s="452" t="s">
        <v>726</v>
      </c>
      <c r="B53" s="452" t="s">
        <v>727</v>
      </c>
      <c r="C53" s="452" t="s">
        <v>725</v>
      </c>
      <c r="D53" s="452" t="s">
        <v>520</v>
      </c>
      <c r="E53" s="453">
        <v>46</v>
      </c>
    </row>
    <row r="54" spans="1:5" x14ac:dyDescent="0.3">
      <c r="A54" s="466" t="s">
        <v>728</v>
      </c>
      <c r="B54" s="467" t="s">
        <v>729</v>
      </c>
      <c r="C54" s="429" t="s">
        <v>730</v>
      </c>
      <c r="D54" s="429" t="s">
        <v>520</v>
      </c>
      <c r="E54" s="459">
        <v>26</v>
      </c>
    </row>
    <row r="55" spans="1:5" x14ac:dyDescent="0.3">
      <c r="A55" s="452" t="s">
        <v>731</v>
      </c>
      <c r="B55" s="452" t="s">
        <v>732</v>
      </c>
      <c r="C55" s="452" t="s">
        <v>725</v>
      </c>
      <c r="D55" s="452" t="s">
        <v>520</v>
      </c>
      <c r="E55" s="452">
        <v>24</v>
      </c>
    </row>
    <row r="56" spans="1:5" x14ac:dyDescent="0.3">
      <c r="A56" s="452" t="s">
        <v>733</v>
      </c>
      <c r="B56" s="452" t="s">
        <v>734</v>
      </c>
      <c r="C56" s="452" t="s">
        <v>735</v>
      </c>
      <c r="D56" s="452" t="s">
        <v>520</v>
      </c>
      <c r="E56" s="453">
        <v>18</v>
      </c>
    </row>
    <row r="57" spans="1:5" x14ac:dyDescent="0.3">
      <c r="A57" s="452" t="s">
        <v>736</v>
      </c>
      <c r="B57" s="452" t="s">
        <v>737</v>
      </c>
      <c r="C57" s="452" t="s">
        <v>725</v>
      </c>
      <c r="D57" s="452" t="s">
        <v>520</v>
      </c>
      <c r="E57" s="452">
        <v>26</v>
      </c>
    </row>
    <row r="58" spans="1:5" x14ac:dyDescent="0.3">
      <c r="A58" s="452" t="s">
        <v>738</v>
      </c>
      <c r="B58" s="452" t="s">
        <v>739</v>
      </c>
      <c r="C58" s="452" t="s">
        <v>725</v>
      </c>
      <c r="D58" s="452" t="s">
        <v>520</v>
      </c>
      <c r="E58" s="453">
        <v>15</v>
      </c>
    </row>
    <row r="59" spans="1:5" x14ac:dyDescent="0.3">
      <c r="A59" s="452" t="s">
        <v>740</v>
      </c>
      <c r="B59" s="452" t="s">
        <v>741</v>
      </c>
      <c r="C59" s="452" t="s">
        <v>742</v>
      </c>
      <c r="D59" s="452" t="s">
        <v>743</v>
      </c>
      <c r="E59" s="452">
        <v>28</v>
      </c>
    </row>
    <row r="60" spans="1:5" x14ac:dyDescent="0.3">
      <c r="A60" s="452" t="s">
        <v>744</v>
      </c>
      <c r="B60" s="462" t="s">
        <v>260</v>
      </c>
      <c r="C60" s="452" t="s">
        <v>742</v>
      </c>
      <c r="D60" s="452" t="s">
        <v>743</v>
      </c>
      <c r="E60" s="453">
        <v>37</v>
      </c>
    </row>
    <row r="61" spans="1:5" x14ac:dyDescent="0.3">
      <c r="A61" s="452" t="s">
        <v>745</v>
      </c>
      <c r="B61" s="452" t="s">
        <v>746</v>
      </c>
      <c r="C61" s="452" t="s">
        <v>747</v>
      </c>
      <c r="D61" s="452" t="s">
        <v>520</v>
      </c>
      <c r="E61" s="453">
        <v>32</v>
      </c>
    </row>
    <row r="62" spans="1:5" x14ac:dyDescent="0.3">
      <c r="A62" s="452" t="s">
        <v>748</v>
      </c>
      <c r="B62" s="462" t="s">
        <v>261</v>
      </c>
      <c r="C62" s="452" t="s">
        <v>742</v>
      </c>
      <c r="D62" s="452" t="s">
        <v>743</v>
      </c>
      <c r="E62" s="453">
        <v>37</v>
      </c>
    </row>
    <row r="63" spans="1:5" x14ac:dyDescent="0.3">
      <c r="A63" s="468" t="s">
        <v>749</v>
      </c>
      <c r="B63" s="469" t="s">
        <v>262</v>
      </c>
      <c r="C63" s="468" t="s">
        <v>742</v>
      </c>
      <c r="D63" s="468" t="s">
        <v>743</v>
      </c>
      <c r="E63" s="470">
        <v>40</v>
      </c>
    </row>
    <row r="64" spans="1:5" x14ac:dyDescent="0.3">
      <c r="A64" s="452" t="s">
        <v>750</v>
      </c>
      <c r="B64" s="452" t="s">
        <v>751</v>
      </c>
      <c r="C64" s="452" t="s">
        <v>752</v>
      </c>
      <c r="D64" s="452" t="s">
        <v>520</v>
      </c>
      <c r="E64" s="453">
        <v>24</v>
      </c>
    </row>
    <row r="65" spans="1:13" x14ac:dyDescent="0.3">
      <c r="A65" s="452" t="s">
        <v>753</v>
      </c>
      <c r="B65" s="452" t="s">
        <v>754</v>
      </c>
      <c r="C65" s="452" t="s">
        <v>752</v>
      </c>
      <c r="D65" s="452" t="s">
        <v>520</v>
      </c>
      <c r="E65" s="453">
        <v>23</v>
      </c>
    </row>
    <row r="66" spans="1:13" x14ac:dyDescent="0.3">
      <c r="A66" s="452" t="s">
        <v>755</v>
      </c>
      <c r="B66" s="452" t="s">
        <v>756</v>
      </c>
      <c r="C66" s="452" t="s">
        <v>757</v>
      </c>
      <c r="D66" s="452" t="s">
        <v>520</v>
      </c>
      <c r="E66" s="453">
        <v>71</v>
      </c>
    </row>
    <row r="67" spans="1:13" x14ac:dyDescent="0.3">
      <c r="A67" s="424"/>
      <c r="B67" s="424"/>
      <c r="C67" s="424"/>
      <c r="D67" s="424"/>
      <c r="E67" s="471"/>
    </row>
    <row r="68" spans="1:13" x14ac:dyDescent="0.3">
      <c r="A68" s="424"/>
      <c r="B68" s="424"/>
      <c r="C68" s="424"/>
      <c r="D68" s="424"/>
      <c r="E68" s="424"/>
    </row>
    <row r="69" spans="1:13" x14ac:dyDescent="0.3">
      <c r="A69" s="424"/>
      <c r="B69" s="472"/>
      <c r="C69" s="424"/>
      <c r="D69" s="424"/>
      <c r="E69" s="471"/>
    </row>
    <row r="70" spans="1:13" x14ac:dyDescent="0.3">
      <c r="A70" s="424"/>
      <c r="B70" s="424"/>
      <c r="C70" s="424"/>
      <c r="D70" s="424"/>
      <c r="E70" s="471"/>
    </row>
    <row r="71" spans="1:13" x14ac:dyDescent="0.3">
      <c r="A71" s="424"/>
      <c r="B71" s="424"/>
      <c r="C71" s="424"/>
      <c r="D71" s="424"/>
      <c r="E71" s="471"/>
      <c r="I71" s="473"/>
      <c r="J71" s="473"/>
      <c r="K71" s="473"/>
      <c r="L71" s="474"/>
      <c r="M71" s="475"/>
    </row>
    <row r="72" spans="1:13" x14ac:dyDescent="0.3">
      <c r="A72" s="424"/>
      <c r="B72" s="424"/>
      <c r="C72" s="424"/>
      <c r="D72" s="424"/>
      <c r="E72" s="424"/>
      <c r="I72" s="424"/>
      <c r="J72" s="424"/>
      <c r="K72" s="424"/>
      <c r="L72" s="424"/>
      <c r="M72" s="471"/>
    </row>
    <row r="73" spans="1:13" x14ac:dyDescent="0.3">
      <c r="A73" s="424"/>
      <c r="B73" s="424"/>
      <c r="C73" s="424"/>
      <c r="D73" s="424"/>
      <c r="E73" s="471"/>
      <c r="I73" s="424"/>
      <c r="J73" s="424"/>
      <c r="K73" s="424"/>
      <c r="L73" s="424"/>
      <c r="M73" s="424"/>
    </row>
    <row r="74" spans="1:13" x14ac:dyDescent="0.3">
      <c r="A74" s="424"/>
      <c r="B74" s="472"/>
      <c r="C74" s="424"/>
      <c r="D74" s="424"/>
      <c r="E74" s="471"/>
      <c r="I74" s="424"/>
      <c r="J74" s="472"/>
      <c r="K74" s="424"/>
      <c r="L74" s="424"/>
      <c r="M74" s="471"/>
    </row>
    <row r="75" spans="1:13" x14ac:dyDescent="0.3">
      <c r="A75" s="424"/>
      <c r="B75" s="424"/>
      <c r="C75" s="424"/>
      <c r="D75" s="424"/>
      <c r="E75" s="471"/>
      <c r="I75" s="424"/>
      <c r="J75" s="424"/>
      <c r="K75" s="424"/>
      <c r="L75" s="424"/>
      <c r="M75" s="471"/>
    </row>
    <row r="76" spans="1:13" x14ac:dyDescent="0.3">
      <c r="A76" s="424"/>
      <c r="B76" s="424"/>
      <c r="C76" s="424"/>
      <c r="D76" s="424"/>
      <c r="E76" s="424"/>
      <c r="I76" s="424"/>
      <c r="J76" s="424"/>
      <c r="K76" s="424"/>
      <c r="L76" s="424"/>
      <c r="M76" s="471"/>
    </row>
    <row r="77" spans="1:13" x14ac:dyDescent="0.3">
      <c r="A77" s="424"/>
      <c r="B77" s="424"/>
      <c r="C77" s="424"/>
      <c r="D77" s="424"/>
      <c r="E77" s="424"/>
      <c r="I77" s="424"/>
      <c r="J77" s="424"/>
      <c r="K77" s="424"/>
      <c r="L77" s="424"/>
      <c r="M77" s="424"/>
    </row>
    <row r="78" spans="1:13" x14ac:dyDescent="0.3">
      <c r="A78" s="424"/>
      <c r="B78" s="424"/>
      <c r="C78" s="424"/>
      <c r="D78" s="424"/>
      <c r="E78" s="471"/>
      <c r="I78" s="424"/>
      <c r="J78" s="424"/>
      <c r="K78" s="424"/>
      <c r="L78" s="424"/>
      <c r="M78" s="424"/>
    </row>
    <row r="79" spans="1:13" x14ac:dyDescent="0.3">
      <c r="A79" s="424"/>
      <c r="B79" s="424"/>
      <c r="C79" s="424"/>
      <c r="D79" s="424"/>
      <c r="E79" s="471"/>
      <c r="I79" s="424"/>
      <c r="J79" s="424"/>
      <c r="K79" s="424"/>
      <c r="L79" s="424"/>
      <c r="M79" s="424"/>
    </row>
    <row r="80" spans="1:13" x14ac:dyDescent="0.3">
      <c r="A80" s="424"/>
      <c r="B80" s="472"/>
      <c r="C80" s="424"/>
      <c r="D80" s="424"/>
      <c r="E80" s="424"/>
      <c r="I80" s="424"/>
      <c r="J80" s="424"/>
      <c r="K80" s="424"/>
      <c r="L80" s="424"/>
      <c r="M80" s="424"/>
    </row>
    <row r="81" spans="1:13" x14ac:dyDescent="0.3">
      <c r="A81" s="424"/>
      <c r="B81" s="472"/>
      <c r="C81" s="424"/>
      <c r="D81" s="424"/>
      <c r="E81" s="424"/>
      <c r="I81" s="424"/>
      <c r="J81" s="424"/>
      <c r="K81" s="424"/>
      <c r="L81" s="424"/>
      <c r="M81" s="471"/>
    </row>
    <row r="82" spans="1:13" x14ac:dyDescent="0.3">
      <c r="A82" s="424"/>
      <c r="B82" s="472"/>
      <c r="C82" s="424"/>
      <c r="D82" s="424"/>
      <c r="E82" s="471"/>
      <c r="I82" s="424"/>
      <c r="J82" s="472"/>
      <c r="K82" s="424"/>
      <c r="L82" s="424"/>
      <c r="M82" s="471"/>
    </row>
    <row r="83" spans="1:13" x14ac:dyDescent="0.3">
      <c r="A83" s="424"/>
      <c r="B83" s="472"/>
      <c r="C83" s="424"/>
      <c r="D83" s="424"/>
      <c r="E83" s="424"/>
      <c r="I83" s="424"/>
      <c r="J83" s="424"/>
      <c r="K83" s="424"/>
      <c r="L83" s="424"/>
      <c r="M83" s="471"/>
    </row>
    <row r="84" spans="1:13" x14ac:dyDescent="0.3">
      <c r="A84" s="424"/>
      <c r="B84" s="424"/>
      <c r="C84" s="424"/>
      <c r="D84" s="424"/>
      <c r="E84" s="424"/>
      <c r="I84" s="424"/>
      <c r="J84" s="424"/>
      <c r="K84" s="424"/>
      <c r="L84" s="424"/>
      <c r="M84" s="424"/>
    </row>
    <row r="85" spans="1:13" x14ac:dyDescent="0.3">
      <c r="A85" s="424"/>
      <c r="B85" s="424"/>
      <c r="C85" s="424"/>
      <c r="D85" s="424"/>
      <c r="E85" s="424"/>
      <c r="I85" s="424"/>
      <c r="J85" s="424"/>
      <c r="K85" s="424"/>
      <c r="L85" s="424"/>
      <c r="M85" s="424"/>
    </row>
    <row r="86" spans="1:13" x14ac:dyDescent="0.3">
      <c r="A86" s="424"/>
      <c r="B86" s="424"/>
      <c r="C86" s="424"/>
      <c r="D86" s="424"/>
      <c r="E86" s="424"/>
      <c r="I86" s="424"/>
      <c r="J86" s="424"/>
      <c r="K86" s="424"/>
      <c r="L86" s="424"/>
      <c r="M86" s="471"/>
    </row>
    <row r="87" spans="1:13" s="465" customFormat="1" x14ac:dyDescent="0.3">
      <c r="A87" s="424"/>
      <c r="B87" s="424"/>
      <c r="C87" s="424"/>
      <c r="D87" s="424"/>
      <c r="E87" s="424"/>
      <c r="I87" s="424"/>
      <c r="J87" s="424"/>
      <c r="K87" s="424"/>
      <c r="L87" s="424"/>
      <c r="M87" s="471"/>
    </row>
    <row r="88" spans="1:13" x14ac:dyDescent="0.3">
      <c r="A88" s="438"/>
      <c r="B88" s="476"/>
      <c r="C88" s="438"/>
      <c r="D88" s="438"/>
      <c r="E88" s="438"/>
      <c r="I88" s="424"/>
      <c r="J88" s="472"/>
      <c r="K88" s="424"/>
      <c r="L88" s="424"/>
      <c r="M88" s="424"/>
    </row>
    <row r="89" spans="1:13" x14ac:dyDescent="0.3">
      <c r="I89" s="424"/>
      <c r="J89" s="472"/>
      <c r="K89" s="424"/>
      <c r="L89" s="424"/>
      <c r="M89" s="424"/>
    </row>
    <row r="90" spans="1:13" x14ac:dyDescent="0.3">
      <c r="I90" s="424"/>
      <c r="J90" s="472"/>
      <c r="K90" s="424"/>
      <c r="L90" s="424"/>
      <c r="M90" s="471"/>
    </row>
    <row r="91" spans="1:13" x14ac:dyDescent="0.3">
      <c r="I91" s="424"/>
      <c r="J91" s="472"/>
      <c r="K91" s="424"/>
      <c r="L91" s="424"/>
      <c r="M91" s="424"/>
    </row>
    <row r="92" spans="1:13" x14ac:dyDescent="0.3">
      <c r="I92" s="424"/>
      <c r="J92" s="424"/>
      <c r="K92" s="424"/>
      <c r="L92" s="424"/>
      <c r="M92" s="424"/>
    </row>
    <row r="93" spans="1:13" x14ac:dyDescent="0.3">
      <c r="I93" s="424"/>
      <c r="J93" s="424"/>
      <c r="K93" s="424"/>
      <c r="L93" s="424"/>
      <c r="M93" s="424"/>
    </row>
    <row r="94" spans="1:13" x14ac:dyDescent="0.3">
      <c r="I94" s="424"/>
      <c r="J94" s="424"/>
      <c r="K94" s="424"/>
      <c r="L94" s="424"/>
      <c r="M94" s="424"/>
    </row>
    <row r="95" spans="1:13" x14ac:dyDescent="0.3">
      <c r="I95" s="424"/>
      <c r="J95" s="424"/>
      <c r="K95" s="424"/>
      <c r="L95" s="424"/>
      <c r="M95" s="424"/>
    </row>
    <row r="96" spans="1:13" x14ac:dyDescent="0.3">
      <c r="I96" s="438"/>
      <c r="J96" s="476"/>
      <c r="K96" s="438"/>
      <c r="L96" s="438"/>
      <c r="M96" s="438"/>
    </row>
    <row r="97" spans="9:13" x14ac:dyDescent="0.3">
      <c r="I97" s="521"/>
      <c r="J97" s="521"/>
      <c r="K97" s="521"/>
      <c r="L97" s="521"/>
      <c r="M97" s="521"/>
    </row>
    <row r="98" spans="9:13" x14ac:dyDescent="0.3">
      <c r="I98" s="424"/>
      <c r="J98" s="472"/>
      <c r="K98" s="424"/>
      <c r="L98" s="472"/>
      <c r="M98" s="424"/>
    </row>
    <row r="99" spans="9:13" x14ac:dyDescent="0.3">
      <c r="I99" s="424"/>
      <c r="J99" s="424"/>
      <c r="K99" s="424"/>
      <c r="L99" s="424"/>
      <c r="M99" s="424"/>
    </row>
    <row r="100" spans="9:13" x14ac:dyDescent="0.3">
      <c r="I100" s="424"/>
      <c r="J100" s="424"/>
      <c r="K100" s="424"/>
      <c r="L100" s="424"/>
      <c r="M100" s="424"/>
    </row>
    <row r="101" spans="9:13" x14ac:dyDescent="0.3">
      <c r="I101" s="477"/>
      <c r="J101" s="477"/>
      <c r="K101" s="477"/>
      <c r="L101" s="477"/>
      <c r="M101" s="424"/>
    </row>
    <row r="102" spans="9:13" x14ac:dyDescent="0.3">
      <c r="I102" s="477"/>
      <c r="J102" s="477"/>
      <c r="K102" s="477"/>
      <c r="L102" s="477"/>
      <c r="M102" s="424"/>
    </row>
    <row r="103" spans="9:13" x14ac:dyDescent="0.3">
      <c r="I103" s="477"/>
      <c r="J103" s="477"/>
      <c r="K103" s="477"/>
      <c r="L103" s="477"/>
      <c r="M103" s="424"/>
    </row>
    <row r="104" spans="9:13" x14ac:dyDescent="0.3">
      <c r="I104" s="477"/>
      <c r="J104" s="477"/>
      <c r="K104" s="477"/>
      <c r="L104" s="477"/>
      <c r="M104" s="424"/>
    </row>
    <row r="105" spans="9:13" x14ac:dyDescent="0.3">
      <c r="I105" s="424"/>
      <c r="J105" s="424"/>
      <c r="K105" s="424"/>
      <c r="L105" s="424"/>
      <c r="M105" s="424"/>
    </row>
    <row r="106" spans="9:13" x14ac:dyDescent="0.3">
      <c r="I106" s="477"/>
      <c r="J106" s="424"/>
      <c r="K106" s="424"/>
      <c r="L106" s="424"/>
      <c r="M106" s="424"/>
    </row>
    <row r="107" spans="9:13" x14ac:dyDescent="0.3">
      <c r="I107" s="424"/>
      <c r="J107" s="424"/>
      <c r="K107" s="424"/>
      <c r="L107" s="424"/>
      <c r="M107" s="424"/>
    </row>
    <row r="108" spans="9:13" x14ac:dyDescent="0.3">
      <c r="I108" s="477"/>
      <c r="J108" s="424"/>
      <c r="K108" s="424"/>
      <c r="L108" s="424"/>
      <c r="M108" s="424"/>
    </row>
    <row r="109" spans="9:13" x14ac:dyDescent="0.3">
      <c r="I109" s="424"/>
      <c r="J109" s="424"/>
      <c r="K109" s="424"/>
      <c r="L109" s="424"/>
      <c r="M109" s="424"/>
    </row>
    <row r="110" spans="9:13" x14ac:dyDescent="0.3">
      <c r="I110" s="477"/>
      <c r="J110" s="424"/>
      <c r="K110" s="424"/>
      <c r="L110" s="424"/>
      <c r="M110" s="424"/>
    </row>
    <row r="111" spans="9:13" x14ac:dyDescent="0.3">
      <c r="I111" s="424"/>
      <c r="J111" s="424"/>
      <c r="K111" s="424"/>
      <c r="L111" s="424"/>
      <c r="M111" s="424"/>
    </row>
    <row r="112" spans="9:13" x14ac:dyDescent="0.3">
      <c r="I112" s="424"/>
      <c r="J112" s="424"/>
      <c r="K112" s="424"/>
      <c r="L112" s="424"/>
      <c r="M112" s="424"/>
    </row>
    <row r="113" spans="9:13" x14ac:dyDescent="0.3">
      <c r="I113" s="478"/>
      <c r="J113" s="478"/>
      <c r="K113" s="478"/>
      <c r="L113" s="478"/>
      <c r="M113" s="478"/>
    </row>
    <row r="114" spans="9:13" x14ac:dyDescent="0.3">
      <c r="I114" s="478"/>
      <c r="J114" s="478"/>
      <c r="K114" s="478"/>
      <c r="L114" s="478"/>
      <c r="M114" s="478"/>
    </row>
    <row r="115" spans="9:13" x14ac:dyDescent="0.3">
      <c r="I115" s="478"/>
      <c r="J115" s="478"/>
      <c r="K115" s="478"/>
      <c r="L115" s="478"/>
      <c r="M115" s="478"/>
    </row>
    <row r="116" spans="9:13" x14ac:dyDescent="0.3">
      <c r="I116" s="478"/>
      <c r="J116" s="478"/>
      <c r="K116" s="478"/>
      <c r="L116" s="478"/>
      <c r="M116" s="478"/>
    </row>
    <row r="117" spans="9:13" x14ac:dyDescent="0.3">
      <c r="I117" s="478"/>
      <c r="J117" s="478"/>
      <c r="K117" s="478"/>
      <c r="L117" s="478"/>
      <c r="M117" s="478"/>
    </row>
    <row r="118" spans="9:13" x14ac:dyDescent="0.3">
      <c r="I118" s="478"/>
      <c r="J118" s="478"/>
      <c r="K118" s="478"/>
      <c r="L118" s="478"/>
      <c r="M118" s="478"/>
    </row>
    <row r="119" spans="9:13" x14ac:dyDescent="0.3">
      <c r="I119" s="478"/>
      <c r="J119" s="478"/>
      <c r="K119" s="478"/>
      <c r="L119" s="478"/>
      <c r="M119" s="478"/>
    </row>
    <row r="120" spans="9:13" x14ac:dyDescent="0.3">
      <c r="I120" s="478"/>
      <c r="J120" s="478"/>
      <c r="K120" s="478"/>
      <c r="L120" s="478"/>
      <c r="M120" s="478"/>
    </row>
    <row r="121" spans="9:13" x14ac:dyDescent="0.3">
      <c r="I121" s="478"/>
      <c r="J121" s="478"/>
      <c r="K121" s="478"/>
      <c r="L121" s="478"/>
      <c r="M121" s="478"/>
    </row>
    <row r="122" spans="9:13" x14ac:dyDescent="0.3">
      <c r="I122" s="478"/>
      <c r="J122" s="478"/>
      <c r="K122" s="478"/>
      <c r="L122" s="478"/>
      <c r="M122" s="478"/>
    </row>
    <row r="123" spans="9:13" x14ac:dyDescent="0.3">
      <c r="I123" s="478"/>
      <c r="J123" s="478"/>
      <c r="K123" s="478"/>
      <c r="L123" s="478"/>
      <c r="M123" s="478"/>
    </row>
    <row r="124" spans="9:13" x14ac:dyDescent="0.3">
      <c r="I124" s="478"/>
      <c r="J124" s="478"/>
      <c r="K124" s="478"/>
      <c r="L124" s="478"/>
      <c r="M124" s="478"/>
    </row>
    <row r="125" spans="9:13" x14ac:dyDescent="0.3">
      <c r="I125" s="478"/>
      <c r="J125" s="478"/>
      <c r="K125" s="478"/>
      <c r="L125" s="478"/>
      <c r="M125" s="478"/>
    </row>
    <row r="126" spans="9:13" x14ac:dyDescent="0.3">
      <c r="I126" s="478"/>
      <c r="J126" s="478"/>
      <c r="K126" s="478"/>
      <c r="L126" s="478"/>
      <c r="M126" s="478"/>
    </row>
    <row r="127" spans="9:13" x14ac:dyDescent="0.3">
      <c r="I127" s="478"/>
      <c r="J127" s="478"/>
      <c r="K127" s="478"/>
      <c r="L127" s="478"/>
      <c r="M127" s="478"/>
    </row>
    <row r="128" spans="9:13" x14ac:dyDescent="0.3">
      <c r="I128" s="478"/>
      <c r="J128" s="478"/>
      <c r="K128" s="478"/>
      <c r="L128" s="478"/>
      <c r="M128" s="478"/>
    </row>
    <row r="129" spans="9:13" x14ac:dyDescent="0.3">
      <c r="I129" s="478"/>
      <c r="J129" s="478"/>
      <c r="K129" s="478"/>
      <c r="L129" s="478"/>
      <c r="M129" s="478"/>
    </row>
    <row r="130" spans="9:13" x14ac:dyDescent="0.3">
      <c r="I130" s="478"/>
      <c r="J130" s="478"/>
      <c r="K130" s="478"/>
      <c r="L130" s="478"/>
      <c r="M130" s="478"/>
    </row>
  </sheetData>
  <mergeCells count="5">
    <mergeCell ref="A4:E4"/>
    <mergeCell ref="A7:E7"/>
    <mergeCell ref="A18:E18"/>
    <mergeCell ref="I29:M29"/>
    <mergeCell ref="I97:M97"/>
  </mergeCells>
  <pageMargins left="0.7" right="0.7" top="0.78740157499999996" bottom="0.78740157499999996" header="0.3" footer="0.3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33</vt:i4>
      </vt:variant>
    </vt:vector>
  </HeadingPairs>
  <TitlesOfParts>
    <vt:vector size="40" baseType="lpstr">
      <vt:lpstr>Titulní list</vt:lpstr>
      <vt:lpstr>Krycí list</vt:lpstr>
      <vt:lpstr>Rekapitulace</vt:lpstr>
      <vt:lpstr>Položky I. etp. - zámek, hl. a</vt:lpstr>
      <vt:lpstr>Péče po dobu tří let</vt:lpstr>
      <vt:lpstr>VV</vt:lpstr>
      <vt:lpstr>VR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Rekapitulace!Názvy_tisku</vt:lpstr>
      <vt:lpstr>Objednatel</vt:lpstr>
      <vt:lpstr>'Krycí list'!Oblast_tisku</vt:lpstr>
      <vt:lpstr>Rekapitulace!Oblast_tisku</vt:lpstr>
      <vt:lpstr>'Titulní list'!Oblast_tisku</vt:lpstr>
      <vt:lpstr>paeonia</vt:lpstr>
      <vt:lpstr>PocetMJ</vt:lpstr>
      <vt:lpstr>Projektant</vt:lpstr>
      <vt:lpstr>PSV</vt:lpstr>
      <vt:lpstr>SazbaDPH1</vt:lpstr>
      <vt:lpstr>SazbaDPH2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Března</dc:creator>
  <cp:lastModifiedBy>x</cp:lastModifiedBy>
  <cp:lastPrinted>2018-03-01T17:32:18Z</cp:lastPrinted>
  <dcterms:created xsi:type="dcterms:W3CDTF">2016-04-13T07:44:46Z</dcterms:created>
  <dcterms:modified xsi:type="dcterms:W3CDTF">2018-04-10T13:42:45Z</dcterms:modified>
</cp:coreProperties>
</file>