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8\42_2018_udrzba_zelene\zadavaci_dokumentace\"/>
    </mc:Choice>
  </mc:AlternateContent>
  <workbookProtection workbookAlgorithmName="SHA-512" workbookHashValue="CYG/a9r0ibQz5uCj8lAbgDityWP/hpUIMozzJSGDQsPC2iLMiSa7jVxwCA2zfD6mW8JleTp037JmC2wdYEKYCQ==" workbookSaltValue="5HzuEhLAYDb/znrRRI3hNA==" workbookSpinCount="100000" lockStructure="1"/>
  <bookViews>
    <workbookView xWindow="0" yWindow="0" windowWidth="28800" windowHeight="11835" tabRatio="931" activeTab="6"/>
  </bookViews>
  <sheets>
    <sheet name="souhrn" sheetId="26" r:id="rId1"/>
    <sheet name="PÚ_1" sheetId="20" r:id="rId2"/>
    <sheet name="PÚ_2" sheetId="19" r:id="rId3"/>
    <sheet name="PÚ_3" sheetId="18" r:id="rId4"/>
    <sheet name="PÚ_4" sheetId="17" r:id="rId5"/>
    <sheet name="PÚ_5" sheetId="10" r:id="rId6"/>
    <sheet name="keře_inv" sheetId="25" r:id="rId7"/>
  </sheets>
  <definedNames>
    <definedName name="_xlnm.Print_Titles" localSheetId="6">keře_inv!$1:$2</definedName>
    <definedName name="_xlnm.Print_Area" localSheetId="6">keře_inv!$A$1:$G$57</definedName>
    <definedName name="_xlnm.Print_Area" localSheetId="1">PÚ_1!$B$2:$J$192</definedName>
    <definedName name="_xlnm.Print_Area" localSheetId="2">PÚ_2!$B$2:$J$143</definedName>
    <definedName name="_xlnm.Print_Area" localSheetId="3">PÚ_3!$B$2:$J$101</definedName>
    <definedName name="_xlnm.Print_Area" localSheetId="4">PÚ_4!$B$2:$J$103</definedName>
    <definedName name="_xlnm.Print_Area" localSheetId="5">PÚ_5!$B$2:$J$118</definedName>
    <definedName name="_xlnm.Print_Area" localSheetId="0">souhrn!$B$2:$D$11</definedName>
  </definedNames>
  <calcPr calcId="152511"/>
</workbook>
</file>

<file path=xl/calcChain.xml><?xml version="1.0" encoding="utf-8"?>
<calcChain xmlns="http://schemas.openxmlformats.org/spreadsheetml/2006/main">
  <c r="F81" i="19" l="1"/>
  <c r="I81" i="19" s="1"/>
  <c r="I80" i="19"/>
  <c r="I79" i="19"/>
  <c r="I78" i="19"/>
  <c r="F77" i="19"/>
  <c r="I77" i="19" s="1"/>
  <c r="F76" i="19"/>
  <c r="I76" i="19" s="1"/>
  <c r="I75" i="19"/>
  <c r="I74" i="19"/>
  <c r="G26" i="20" l="1"/>
  <c r="G24" i="20"/>
  <c r="G23" i="20"/>
  <c r="G22" i="20"/>
  <c r="G21" i="20"/>
  <c r="G20" i="20"/>
  <c r="G19" i="20"/>
  <c r="G18" i="20"/>
  <c r="G16" i="20"/>
  <c r="G15" i="20"/>
  <c r="G14" i="20"/>
  <c r="G13" i="20"/>
  <c r="G12" i="20"/>
  <c r="G11" i="20"/>
  <c r="G10" i="20"/>
  <c r="G13" i="19"/>
  <c r="G12" i="19"/>
  <c r="I120" i="19"/>
  <c r="F113" i="19" l="1"/>
  <c r="F112" i="19"/>
  <c r="F109" i="19"/>
  <c r="F75" i="18"/>
  <c r="F74" i="18"/>
  <c r="I114" i="19" l="1"/>
  <c r="I76" i="18" l="1"/>
  <c r="F54" i="19" l="1"/>
  <c r="F53" i="19"/>
  <c r="F38" i="19"/>
  <c r="I142" i="19"/>
  <c r="I190" i="20"/>
  <c r="I171" i="20"/>
  <c r="F170" i="20"/>
  <c r="I170" i="20" s="1"/>
  <c r="I168" i="20"/>
  <c r="I166" i="20"/>
  <c r="I167" i="20"/>
  <c r="I169" i="20"/>
  <c r="F178" i="20"/>
  <c r="I178" i="20" s="1"/>
  <c r="F177" i="20"/>
  <c r="I177" i="20" s="1"/>
  <c r="F176" i="20"/>
  <c r="I176" i="20" s="1"/>
  <c r="F175" i="20"/>
  <c r="I175" i="20" s="1"/>
  <c r="F174" i="20"/>
  <c r="I174" i="20" s="1"/>
  <c r="I173" i="20"/>
  <c r="I172" i="20"/>
  <c r="F151" i="20"/>
  <c r="F152" i="20"/>
  <c r="F137" i="20"/>
  <c r="F136" i="20"/>
  <c r="F126" i="20"/>
  <c r="F115" i="20"/>
  <c r="F114" i="20"/>
  <c r="F66" i="20"/>
  <c r="F65" i="20"/>
  <c r="I59" i="20"/>
  <c r="I51" i="20"/>
  <c r="F50" i="20"/>
  <c r="F49" i="20"/>
  <c r="F101" i="10"/>
  <c r="F100" i="10"/>
  <c r="F98" i="10"/>
  <c r="F97" i="10"/>
  <c r="F96" i="10"/>
  <c r="F95" i="10"/>
  <c r="F42" i="20"/>
  <c r="F41" i="20"/>
  <c r="I50" i="20" l="1"/>
  <c r="I49" i="20"/>
  <c r="I103" i="10"/>
  <c r="I102" i="10"/>
  <c r="I101" i="10"/>
  <c r="I100" i="10"/>
  <c r="I99" i="10"/>
  <c r="I98" i="10"/>
  <c r="I97" i="10"/>
  <c r="I96" i="10"/>
  <c r="I95" i="10"/>
  <c r="I94" i="10"/>
  <c r="I93" i="10"/>
  <c r="F129" i="20"/>
  <c r="I129" i="20" s="1"/>
  <c r="F128" i="20"/>
  <c r="I128" i="20" s="1"/>
  <c r="I127" i="20"/>
  <c r="I126" i="20"/>
  <c r="F125" i="20"/>
  <c r="I125" i="20" s="1"/>
  <c r="I124" i="20"/>
  <c r="I123" i="20"/>
  <c r="I130" i="20" l="1"/>
  <c r="I52" i="20"/>
  <c r="I104" i="10"/>
  <c r="G16" i="10" s="1"/>
  <c r="I152" i="20"/>
  <c r="I151" i="20"/>
  <c r="F58" i="20"/>
  <c r="I58" i="20" s="1"/>
  <c r="F57" i="20"/>
  <c r="F81" i="20"/>
  <c r="I81" i="20" s="1"/>
  <c r="F83" i="20"/>
  <c r="I83" i="20" s="1"/>
  <c r="F82" i="20"/>
  <c r="I82" i="20" s="1"/>
  <c r="F85" i="20"/>
  <c r="I85" i="20" s="1"/>
  <c r="I84" i="20"/>
  <c r="F75" i="20"/>
  <c r="I75" i="20" s="1"/>
  <c r="F74" i="20"/>
  <c r="I74" i="20" s="1"/>
  <c r="F73" i="20"/>
  <c r="I73" i="20" s="1"/>
  <c r="I43" i="20"/>
  <c r="I42" i="20"/>
  <c r="I41" i="20"/>
  <c r="I57" i="20"/>
  <c r="I66" i="20"/>
  <c r="I165" i="20"/>
  <c r="I137" i="20"/>
  <c r="I136" i="20"/>
  <c r="F116" i="20"/>
  <c r="F113" i="20"/>
  <c r="F159" i="20"/>
  <c r="I159" i="20" s="1"/>
  <c r="I158" i="20"/>
  <c r="F94" i="20"/>
  <c r="F93" i="20"/>
  <c r="F91" i="20"/>
  <c r="F100" i="20"/>
  <c r="F102" i="20"/>
  <c r="F101" i="20"/>
  <c r="F149" i="20"/>
  <c r="I149" i="20" s="1"/>
  <c r="F150" i="20"/>
  <c r="I150" i="20" s="1"/>
  <c r="I179" i="20" l="1"/>
  <c r="I60" i="20"/>
  <c r="I153" i="20"/>
  <c r="I86" i="20"/>
  <c r="I76" i="20"/>
  <c r="I44" i="20"/>
  <c r="I160" i="20"/>
  <c r="I189" i="20"/>
  <c r="I187" i="20"/>
  <c r="I188" i="20"/>
  <c r="I186" i="20"/>
  <c r="I143" i="20"/>
  <c r="I144" i="20" s="1"/>
  <c r="I135" i="20"/>
  <c r="F117" i="20"/>
  <c r="I117" i="20" s="1"/>
  <c r="I116" i="20"/>
  <c r="I115" i="20"/>
  <c r="I114" i="20"/>
  <c r="I113" i="20"/>
  <c r="I112" i="20"/>
  <c r="I111" i="20"/>
  <c r="F105" i="20"/>
  <c r="I105" i="20" s="1"/>
  <c r="I104" i="20"/>
  <c r="I103" i="20"/>
  <c r="I102" i="20"/>
  <c r="I101" i="20"/>
  <c r="I100" i="20"/>
  <c r="I94" i="20"/>
  <c r="I93" i="20"/>
  <c r="I92" i="20"/>
  <c r="I91" i="20"/>
  <c r="I67" i="20"/>
  <c r="I65" i="20"/>
  <c r="I35" i="20"/>
  <c r="I36" i="20" s="1"/>
  <c r="G9" i="20" s="1"/>
  <c r="I38" i="19"/>
  <c r="F101" i="19"/>
  <c r="I101" i="19" s="1"/>
  <c r="I68" i="19"/>
  <c r="F67" i="19"/>
  <c r="I67" i="19" s="1"/>
  <c r="I54" i="19"/>
  <c r="I53" i="19"/>
  <c r="I108" i="19"/>
  <c r="F61" i="19"/>
  <c r="I61" i="19" s="1"/>
  <c r="F60" i="19"/>
  <c r="I60" i="19" s="1"/>
  <c r="F46" i="19"/>
  <c r="I46" i="19" s="1"/>
  <c r="I47" i="19"/>
  <c r="I40" i="19"/>
  <c r="I126" i="19"/>
  <c r="I127" i="19" s="1"/>
  <c r="G21" i="19" s="1"/>
  <c r="I39" i="19"/>
  <c r="F133" i="19"/>
  <c r="I133" i="19" s="1"/>
  <c r="F132" i="19"/>
  <c r="I132" i="19" s="1"/>
  <c r="F100" i="19"/>
  <c r="I100" i="19" s="1"/>
  <c r="I102" i="19"/>
  <c r="I121" i="19"/>
  <c r="G20" i="19" s="1"/>
  <c r="F87" i="19"/>
  <c r="I87" i="19" s="1"/>
  <c r="F90" i="19"/>
  <c r="I90" i="19" s="1"/>
  <c r="F89" i="19"/>
  <c r="I89" i="19" s="1"/>
  <c r="I141" i="19"/>
  <c r="I140" i="19"/>
  <c r="I139" i="19"/>
  <c r="I113" i="19"/>
  <c r="I112" i="19"/>
  <c r="I111" i="19"/>
  <c r="I110" i="19"/>
  <c r="I109" i="19"/>
  <c r="F92" i="19"/>
  <c r="I92" i="19" s="1"/>
  <c r="I91" i="19"/>
  <c r="I88" i="19"/>
  <c r="I32" i="19"/>
  <c r="I33" i="19" s="1"/>
  <c r="G9" i="19" s="1"/>
  <c r="I85" i="18"/>
  <c r="I86" i="18" s="1"/>
  <c r="G22" i="18" s="1"/>
  <c r="I143" i="19" l="1"/>
  <c r="G23" i="19" s="1"/>
  <c r="I115" i="19"/>
  <c r="G19" i="19" s="1"/>
  <c r="I69" i="19"/>
  <c r="G14" i="19" s="1"/>
  <c r="I191" i="20"/>
  <c r="I138" i="20"/>
  <c r="I103" i="19"/>
  <c r="G18" i="19" s="1"/>
  <c r="I68" i="20"/>
  <c r="I106" i="20"/>
  <c r="G17" i="20" s="1"/>
  <c r="I95" i="20"/>
  <c r="I118" i="20"/>
  <c r="I62" i="19"/>
  <c r="I55" i="19"/>
  <c r="I41" i="19"/>
  <c r="G10" i="19" s="1"/>
  <c r="I48" i="19"/>
  <c r="G11" i="19" s="1"/>
  <c r="I82" i="19"/>
  <c r="G15" i="19" s="1"/>
  <c r="I93" i="19"/>
  <c r="G16" i="19" s="1"/>
  <c r="I134" i="19"/>
  <c r="G22" i="19" s="1"/>
  <c r="G27" i="20" l="1"/>
  <c r="G28" i="20" s="1"/>
  <c r="D5" i="26" s="1"/>
  <c r="G24" i="19"/>
  <c r="G25" i="19" s="1"/>
  <c r="D6" i="26" s="1"/>
  <c r="F92" i="18"/>
  <c r="I92" i="18" s="1"/>
  <c r="F91" i="18"/>
  <c r="I91" i="18" s="1"/>
  <c r="I70" i="18"/>
  <c r="I74" i="18"/>
  <c r="F54" i="18"/>
  <c r="I54" i="18" s="1"/>
  <c r="I64" i="18"/>
  <c r="I48" i="18"/>
  <c r="I49" i="18" s="1"/>
  <c r="G11" i="18" s="1"/>
  <c r="I36" i="18"/>
  <c r="I42" i="18"/>
  <c r="I43" i="18" s="1"/>
  <c r="G10" i="18" s="1"/>
  <c r="I100" i="18"/>
  <c r="I99" i="18"/>
  <c r="I98" i="18"/>
  <c r="I75" i="18"/>
  <c r="I73" i="18"/>
  <c r="I72" i="18"/>
  <c r="I71" i="18"/>
  <c r="I55" i="18"/>
  <c r="I63" i="18"/>
  <c r="F94" i="17"/>
  <c r="F93" i="17"/>
  <c r="I93" i="17" s="1"/>
  <c r="F86" i="17"/>
  <c r="I86" i="17" s="1"/>
  <c r="I85" i="17"/>
  <c r="I84" i="17"/>
  <c r="I83" i="17"/>
  <c r="F71" i="17"/>
  <c r="F74" i="17"/>
  <c r="I74" i="17" s="1"/>
  <c r="I73" i="17"/>
  <c r="I33" i="17"/>
  <c r="F62" i="17"/>
  <c r="F61" i="17"/>
  <c r="F59" i="17"/>
  <c r="I59" i="17" s="1"/>
  <c r="F64" i="17"/>
  <c r="I64" i="17" s="1"/>
  <c r="I63" i="17"/>
  <c r="I60" i="17"/>
  <c r="I53" i="17"/>
  <c r="I54" i="17" s="1"/>
  <c r="G12" i="17" s="1"/>
  <c r="F47" i="17"/>
  <c r="I47" i="17" s="1"/>
  <c r="F46" i="17"/>
  <c r="I46" i="17" s="1"/>
  <c r="F45" i="17"/>
  <c r="I45" i="17" s="1"/>
  <c r="I44" i="17"/>
  <c r="F34" i="17"/>
  <c r="F36" i="17"/>
  <c r="I36" i="17" s="1"/>
  <c r="I35" i="17"/>
  <c r="I77" i="18" l="1"/>
  <c r="I87" i="17"/>
  <c r="G15" i="17" s="1"/>
  <c r="I101" i="18"/>
  <c r="G27" i="18" s="1"/>
  <c r="I93" i="18"/>
  <c r="G26" i="18" s="1"/>
  <c r="I65" i="18"/>
  <c r="G14" i="18" s="1"/>
  <c r="I37" i="18"/>
  <c r="G9" i="18" s="1"/>
  <c r="I56" i="18"/>
  <c r="G12" i="18" s="1"/>
  <c r="I62" i="17"/>
  <c r="I61" i="17"/>
  <c r="I102" i="17"/>
  <c r="I101" i="17"/>
  <c r="I100" i="17"/>
  <c r="I94" i="17"/>
  <c r="I92" i="17"/>
  <c r="F77" i="17"/>
  <c r="I77" i="17" s="1"/>
  <c r="F76" i="17"/>
  <c r="I76" i="17" s="1"/>
  <c r="I75" i="17"/>
  <c r="I72" i="17"/>
  <c r="I71" i="17"/>
  <c r="I70" i="17"/>
  <c r="I43" i="17"/>
  <c r="I42" i="17"/>
  <c r="I34" i="17"/>
  <c r="I32" i="17"/>
  <c r="I26" i="17"/>
  <c r="I27" i="17" s="1"/>
  <c r="G9" i="17" s="1"/>
  <c r="F68" i="10"/>
  <c r="I68" i="10" s="1"/>
  <c r="I67" i="10"/>
  <c r="G15" i="18" l="1"/>
  <c r="G28" i="18" s="1"/>
  <c r="I65" i="17"/>
  <c r="G13" i="17" s="1"/>
  <c r="I48" i="17"/>
  <c r="G11" i="17" s="1"/>
  <c r="I37" i="17"/>
  <c r="G10" i="17" s="1"/>
  <c r="I103" i="17"/>
  <c r="G17" i="17" s="1"/>
  <c r="I95" i="17"/>
  <c r="G16" i="17" s="1"/>
  <c r="I78" i="17"/>
  <c r="G14" i="17" s="1"/>
  <c r="G29" i="18" l="1"/>
  <c r="D7" i="26" s="1"/>
  <c r="G18" i="17"/>
  <c r="G19" i="17" s="1"/>
  <c r="D8" i="26" s="1"/>
  <c r="F109" i="10"/>
  <c r="I109" i="10" s="1"/>
  <c r="I116" i="10"/>
  <c r="I117" i="10"/>
  <c r="I110" i="10"/>
  <c r="I85" i="10"/>
  <c r="I111" i="10" l="1"/>
  <c r="G17" i="10" s="1"/>
  <c r="I118" i="10"/>
  <c r="G18" i="10" s="1"/>
  <c r="F83" i="10"/>
  <c r="I83" i="10" s="1"/>
  <c r="F87" i="10"/>
  <c r="I87" i="10" s="1"/>
  <c r="I84" i="10"/>
  <c r="F76" i="10"/>
  <c r="F75" i="10"/>
  <c r="F43" i="10"/>
  <c r="F42" i="10"/>
  <c r="F86" i="10"/>
  <c r="I86" i="10" s="1"/>
  <c r="I82" i="10"/>
  <c r="F50" i="10"/>
  <c r="I50" i="10" s="1"/>
  <c r="F49" i="10"/>
  <c r="I51" i="10"/>
  <c r="F41" i="10"/>
  <c r="F40" i="10"/>
  <c r="F62" i="10"/>
  <c r="F61" i="10"/>
  <c r="I61" i="10" s="1"/>
  <c r="I64" i="10"/>
  <c r="F63" i="10"/>
  <c r="I63" i="10" s="1"/>
  <c r="I59" i="10"/>
  <c r="I60" i="10"/>
  <c r="I65" i="10"/>
  <c r="I66" i="10"/>
  <c r="I88" i="10" l="1"/>
  <c r="G15" i="10" s="1"/>
  <c r="I49" i="10"/>
  <c r="I52" i="10" s="1"/>
  <c r="G12" i="10" s="1"/>
  <c r="I62" i="10"/>
  <c r="I58" i="10" l="1"/>
  <c r="I57" i="10"/>
  <c r="I69" i="10" s="1"/>
  <c r="G13" i="10" s="1"/>
  <c r="I76" i="10"/>
  <c r="I75" i="10"/>
  <c r="I74" i="10"/>
  <c r="I43" i="10"/>
  <c r="I42" i="10"/>
  <c r="I41" i="10"/>
  <c r="I40" i="10"/>
  <c r="I77" i="10" l="1"/>
  <c r="G14" i="10" s="1"/>
  <c r="I39" i="10"/>
  <c r="I44" i="10" s="1"/>
  <c r="G11" i="10" s="1"/>
  <c r="I27" i="10"/>
  <c r="I28" i="10" s="1"/>
  <c r="G9" i="10" s="1"/>
  <c r="I33" i="10"/>
  <c r="I34" i="10" s="1"/>
  <c r="G10" i="10" s="1"/>
  <c r="G19" i="10" l="1"/>
  <c r="G20" i="10" s="1"/>
  <c r="D9" i="26" s="1"/>
  <c r="D10" i="26" s="1"/>
</calcChain>
</file>

<file path=xl/sharedStrings.xml><?xml version="1.0" encoding="utf-8"?>
<sst xmlns="http://schemas.openxmlformats.org/spreadsheetml/2006/main" count="2095" uniqueCount="596">
  <si>
    <t>P.č.</t>
  </si>
  <si>
    <t>Zapojená skupina keřů listnatá</t>
  </si>
  <si>
    <t>Zapojená skupina keřů jehličnatá</t>
  </si>
  <si>
    <t>Zapojená skupina keřů smíšená</t>
  </si>
  <si>
    <t>Rozvolněná skupina keřů listnatá</t>
  </si>
  <si>
    <t>Rozvolněná skupina keřů jehličnatá</t>
  </si>
  <si>
    <t>Rozvolněná skupina keřů smíšená</t>
  </si>
  <si>
    <t>Pokryvná skupina keřů listnatá</t>
  </si>
  <si>
    <t>Pokryvná skupina keřů stálezelená</t>
  </si>
  <si>
    <t>Živý plot tvarovaný</t>
  </si>
  <si>
    <t>Záhon trvalek</t>
  </si>
  <si>
    <t>Soliterní keř listnatý</t>
  </si>
  <si>
    <t>Soliterní keř jehličnatý</t>
  </si>
  <si>
    <t>Zámecký park</t>
  </si>
  <si>
    <t>vegetační prvky</t>
  </si>
  <si>
    <t>MTZ</t>
  </si>
  <si>
    <t>Venkovní učebna KRNAP</t>
  </si>
  <si>
    <t>Klášterní zahrady</t>
  </si>
  <si>
    <t>55/5</t>
  </si>
  <si>
    <t>66/1</t>
  </si>
  <si>
    <t>58/2</t>
  </si>
  <si>
    <t>59/8</t>
  </si>
  <si>
    <t>75/1</t>
  </si>
  <si>
    <t>75/3</t>
  </si>
  <si>
    <t>Pracovní operace</t>
  </si>
  <si>
    <t>Počet opakování v IT</t>
  </si>
  <si>
    <t>Jednotková cena (Kč)</t>
  </si>
  <si>
    <t>Poznámka</t>
  </si>
  <si>
    <t>Technologické karty (na jeden kalendářní rok)</t>
  </si>
  <si>
    <t xml:space="preserve">Počet m.j. </t>
  </si>
  <si>
    <t>Kód položky</t>
  </si>
  <si>
    <t>Cena celkem (Kč)</t>
  </si>
  <si>
    <r>
      <t>m</t>
    </r>
    <r>
      <rPr>
        <vertAlign val="superscript"/>
        <sz val="11"/>
        <color theme="1"/>
        <rFont val="Arial"/>
        <family val="2"/>
        <charset val="238"/>
      </rPr>
      <t>2</t>
    </r>
  </si>
  <si>
    <t>Celkem</t>
  </si>
  <si>
    <t>Trávník luční</t>
  </si>
  <si>
    <t>Trávník parkový</t>
  </si>
  <si>
    <t>Letničkový záhon z přímého výsevu</t>
  </si>
  <si>
    <t>t</t>
  </si>
  <si>
    <r>
      <t>m</t>
    </r>
    <r>
      <rPr>
        <b/>
        <vertAlign val="superscript"/>
        <sz val="11"/>
        <color theme="1"/>
        <rFont val="Arial"/>
        <family val="2"/>
        <charset val="238"/>
      </rPr>
      <t>2</t>
    </r>
  </si>
  <si>
    <t>ks</t>
  </si>
  <si>
    <t>Smíšený záhon keřů a trvalek</t>
  </si>
  <si>
    <t>Popínavé rostliny - bodově</t>
  </si>
  <si>
    <t>hod</t>
  </si>
  <si>
    <t>HIS - Krkonošské muzeum (Čtyři historické domy)</t>
  </si>
  <si>
    <t>Trávník parkový - do 1:5</t>
  </si>
  <si>
    <t>Smíšený záhon listnatých keřů a trvalek</t>
  </si>
  <si>
    <t>Soliterní ovocné stromy - nová výsadba</t>
  </si>
  <si>
    <t>Soliterní stromy - nová výsadba</t>
  </si>
  <si>
    <t>m.j.</t>
  </si>
  <si>
    <t>počet m.j.</t>
  </si>
  <si>
    <r>
      <t>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</si>
  <si>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cena celkem</t>
  </si>
  <si>
    <t>Plán údržby</t>
  </si>
  <si>
    <t>p.č.</t>
  </si>
  <si>
    <t>Základní plocha</t>
  </si>
  <si>
    <t>Cesty a zpevněné plochy</t>
  </si>
  <si>
    <t>NOO MŽP</t>
  </si>
  <si>
    <t>kg</t>
  </si>
  <si>
    <t>Pokosení trávníku parkového plochy do 1000 m2 s odvozem do 20 km v rovině a svahu do 1:5</t>
  </si>
  <si>
    <t>Pokosení trávníku lučního plochy do 1000 m2 s odvozem do 20 km v rovině a svahu do 1:6</t>
  </si>
  <si>
    <t>Pokosení trávníku lučního plochy přes 10 000 m2 s odvozem do 20 km v rovině a svahu do 1:5</t>
  </si>
  <si>
    <t>Pokosení trávníku parkového plochy do 10 000 m2 s odvozem do 20 km v rovině a svahu do 1:5</t>
  </si>
  <si>
    <t>Prořezání trávníku hloubky do 5 mm bez přísevu travního osiva, při souvislé ploše do 1000 m2 v rovině nebo na svahu do 1:5</t>
  </si>
  <si>
    <t>Prořezání trávníku hloubky do 5 mm bez přísevu travního osiva, při souvislé ploše přes 1000 m2 v rovině nebo na svahu do 1:5</t>
  </si>
  <si>
    <t>Řez a tvarování živých plotů a stěn přímých, výšky přes 1,5 do 3,0, pro jakoukoliv šířku</t>
  </si>
  <si>
    <t>Řez a tvarování živých plotů a stěn přímých, výšky přes 0,8 do 1,5 m, šířky do 1,0 m</t>
  </si>
  <si>
    <t>Odstranění přerostlého drnu (odpichnutí okrajů) u cest nebo záhonů</t>
  </si>
  <si>
    <t>Vypletí v rovině nebo na svahu do 1:5 záhonu květin</t>
  </si>
  <si>
    <t>Odstranění odkvetlých a odumřelých částí rostlin ze záhonů trvalek</t>
  </si>
  <si>
    <t>Odplevelení výsadeb v rovině nebo na svahu do 1:5 záhonů květin</t>
  </si>
  <si>
    <t>Vyhrabání trávníku souvislé plochy do 1000 m2 v rovině nebo na svahu do 1:5</t>
  </si>
  <si>
    <t>Vyhrabání trávníku souvislé plochy přes 1000 do 10 000 m2 v rovině nebo na svahu do 1:5</t>
  </si>
  <si>
    <t>Vyhrabání trávníku souvislé plochy přes 10 000 m2 v rovině nebo na svahu do 1:5</t>
  </si>
  <si>
    <t>Následná péče o výsadby se zálivkou (dokončovací a rozvojová) - jednotlivé neovocné stromy</t>
  </si>
  <si>
    <t>Následná péče o výsadby se zálivkou (dokončovací a rozvojová) - ovocné dřeviny</t>
  </si>
  <si>
    <t>Hnojení umělým hnojivem na široko v rovině a svahu do 1:5</t>
  </si>
  <si>
    <t>Hnojení půdy umělým hnojivem k jednotlivým rostlinám v rovině a svahu do 1:5</t>
  </si>
  <si>
    <t>Vypletí v rovině nebo na svahu do 1:5 dřevin ve skupinách</t>
  </si>
  <si>
    <t>zálivka vč.dopravy vody, běžně 6x ročně, výchovný řez, kontrola, doplnění nebo odstranění kotvících a ochranných prvků, hnojení, kypření výsadbové mísy, vyžínání porostu, odplevelení, ochrana proti chorobám, doplnění mulče</t>
  </si>
  <si>
    <t>4 ks Prunus sp. v záhonu u vstupu do zahrady směrem od kláštera. Jedná se o novou výsadbu stromů, v následujících letech je třeba v první řadě kontrolovat kotvící a ochranné prvky a provádět výchovný řez dle potřeby.</t>
  </si>
  <si>
    <t>11 ks starých odrůd jabloní. Jedná se o novou výsadbu stromů, v následujících letech je třeba v první řadě kontrolovat kotvící a ochranné prvky a provádět výchovný řez dle potřeby.</t>
  </si>
  <si>
    <t>Řez keřů v zápoji - zmlazení (řez sesazovací)</t>
  </si>
  <si>
    <t>Řez keřů v zápoji - průklest (prosvětlování)</t>
  </si>
  <si>
    <t>Dodávka minerálního hnojiva</t>
  </si>
  <si>
    <t>R</t>
  </si>
  <si>
    <t>Řez pnoucích dřevin</t>
  </si>
  <si>
    <t>Ostatní - úklid prostoru</t>
  </si>
  <si>
    <t>Vynesení odpadkových košů</t>
  </si>
  <si>
    <t>Lavičky - očištění, případně omytí</t>
  </si>
  <si>
    <t>Úklid cesty a zpevněné plochy (shrabání, příp. vyfoukání, listí, vč. likvidace)</t>
  </si>
  <si>
    <t>jarní a podzimní</t>
  </si>
  <si>
    <t>Spiraea japonica, Spiraea betulifolia; na jaře</t>
  </si>
  <si>
    <t>Spiraea cinerea; po odkvětu</t>
  </si>
  <si>
    <t>plocha trvalek</t>
  </si>
  <si>
    <t>Dosadba květin se zalitím jednotlivých rostlin - trvalek</t>
  </si>
  <si>
    <r>
      <t>m</t>
    </r>
    <r>
      <rPr>
        <vertAlign val="superscript"/>
        <sz val="11"/>
        <color theme="1"/>
        <rFont val="Arial"/>
        <family val="2"/>
        <charset val="238"/>
      </rPr>
      <t>3</t>
    </r>
  </si>
  <si>
    <r>
      <t>Zalití rostlin vodou plochy záhonů jednotlivě přes 20 m</t>
    </r>
    <r>
      <rPr>
        <vertAlign val="superscript"/>
        <sz val="11"/>
        <color theme="1"/>
        <rFont val="Arial"/>
        <family val="2"/>
        <charset val="238"/>
      </rPr>
      <t>3</t>
    </r>
  </si>
  <si>
    <r>
      <t>10 l vody / m</t>
    </r>
    <r>
      <rPr>
        <vertAlign val="superscript"/>
        <sz val="11"/>
        <color theme="1"/>
        <rFont val="Arial"/>
        <family val="2"/>
        <charset val="238"/>
      </rPr>
      <t>2</t>
    </r>
  </si>
  <si>
    <t>naceněn 10 cm pruh podél celého záhonu</t>
  </si>
  <si>
    <t>seříznutí trvalek, na podzim</t>
  </si>
  <si>
    <t>plocha zapojených keřů, 1x/2 roky</t>
  </si>
  <si>
    <t>Odstranění přerůstajícího břečťanu (odpichnutí okrajů) u cesty</t>
  </si>
  <si>
    <r>
      <t>Plocha trávníku je v zahradě celkem 1 203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</si>
  <si>
    <r>
      <t>20 g/m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, jaro</t>
    </r>
  </si>
  <si>
    <r>
      <t>Jedná se o okrasný smíšený záhon (celkem 140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) u vstupu do zahrady směrem od kláštera. Složení - keře (celkem 86m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): Spiraea cinerea - v pozadí u plotu, kvete na dvouletých výhonech na jaře, seříznout dle potřeby po odkvětu (spíše jen prosvětlit), Spiraea japonica, Spiraea betulifolia - kvetou na jednoletých výhonech v létě, zpětný řez na jaře (možno seříznout více)+Philadelphus sp., Rosa canina; trvalky (54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): Hosta fortunei, Astilbe sp., Fragaria vesca, Anemone japonica, Geranium sanguineum, Geranium sp., Phlox paniculata, Alchemila sp., Hostu množit dělením trsů a dosazovat prázdná místa (na podzim nebo brzy zjara).  V záhoně se nachází také 4 ks okrasných třešní - nová výsadba (viz samostatná technologická karta).
</t>
    </r>
  </si>
  <si>
    <t>Chemické odplevelení postřikem na široko v rovině a svahu do 1:5</t>
  </si>
  <si>
    <t>naceněno 50% plochy (pruh podél cesty)</t>
  </si>
  <si>
    <t>Provzdušnění trávníku bez přísevu travního osiva plochy do 1000 m2 v rovině nebo svahu do 1:5</t>
  </si>
  <si>
    <t>Provzdušnění trávníku bez přísevu travního osiva plochy přes 1000 m2 v rovině nebo svahu do 1:5</t>
  </si>
  <si>
    <t>Provzdušnění trávníku s přísevem travního osiva plochy přes 1000 m2 v rovině nebo svahu do 1:5</t>
  </si>
  <si>
    <r>
      <t>Vyhrabání trávníku souvislé plochy do 1000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v rovině nebo na svahu do 1:5</t>
    </r>
  </si>
  <si>
    <r>
      <t>Pokosení trávníku parkového plochy do 10 000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s odvozem do 20 km v rovině a svahu do 1:5</t>
    </r>
  </si>
  <si>
    <t>na 30% plochy</t>
  </si>
  <si>
    <t>duben:1x za 14 dní, květen-září: 1x za týden, říjen: 1x za 14 dní</t>
  </si>
  <si>
    <r>
      <t>Plocha všech cest a zpevněných ploch v zahradě je celkem 685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</si>
  <si>
    <t>V zahradě se nachází celkem 15 ks laviček.</t>
  </si>
  <si>
    <t>Úklid odpadků (Běžné nemechanizované ruční práce, úklid odpadků atd.)</t>
  </si>
  <si>
    <t>1x týdně v sezóně (duben-říjen)</t>
  </si>
  <si>
    <t>1.1</t>
  </si>
  <si>
    <t>2.1</t>
  </si>
  <si>
    <t>3.1</t>
  </si>
  <si>
    <t>3.2</t>
  </si>
  <si>
    <t>3.3</t>
  </si>
  <si>
    <t>3.4</t>
  </si>
  <si>
    <t>3.5</t>
  </si>
  <si>
    <t>4.1</t>
  </si>
  <si>
    <t>4.2</t>
  </si>
  <si>
    <t>4.3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</si>
  <si>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</si>
  <si>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</si>
  <si>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</si>
  <si>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</si>
  <si>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</si>
  <si>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</si>
  <si>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</si>
  <si>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</si>
  <si>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</si>
  <si>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</si>
  <si>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</si>
  <si>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</si>
  <si>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</si>
  <si>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7.1</t>
  </si>
  <si>
    <t>7.2</t>
  </si>
  <si>
    <t>7.3</t>
  </si>
  <si>
    <t>7.4</t>
  </si>
  <si>
    <t>7.5</t>
  </si>
  <si>
    <t>7.6</t>
  </si>
  <si>
    <t>7.7</t>
  </si>
  <si>
    <t>8.1</t>
  </si>
  <si>
    <t>8.2</t>
  </si>
  <si>
    <t>9.1</t>
  </si>
  <si>
    <t>9.2</t>
  </si>
  <si>
    <t>Souhrn</t>
  </si>
  <si>
    <t>CELKEM ÚDRŽBA - 1 kalendářní rok</t>
  </si>
  <si>
    <t>CELKEM ÚDRŽBA - 4 kalendářní roky</t>
  </si>
  <si>
    <t>5.11</t>
  </si>
  <si>
    <t>Mulčování rostlin kůrou tl. do 0,1 m v rovině a svahu do 1:5</t>
  </si>
  <si>
    <t>5.12</t>
  </si>
  <si>
    <t>pouze plocha trvalek</t>
  </si>
  <si>
    <t>Dodávka mulčovací kůry</t>
  </si>
  <si>
    <t>vrstva 5 cm</t>
  </si>
  <si>
    <t>9.3</t>
  </si>
  <si>
    <t>12 ks Prunus sp. v travnaté ploše u posezení. Kontrolovat kotvící a ochranné prvky a provádět výchovný řez dle potřeby.</t>
  </si>
  <si>
    <t xml:space="preserve">Vypletí v rovině nebo na svahu do 1:5 </t>
  </si>
  <si>
    <t>především na okrajích - cca 30% plochy</t>
  </si>
  <si>
    <t>2.2</t>
  </si>
  <si>
    <t>2.3</t>
  </si>
  <si>
    <t>2.4</t>
  </si>
  <si>
    <t>Vypletí v rovině nebo na svahu do 1:5 - kořenové mísy keřů</t>
  </si>
  <si>
    <t>Řez soliterních keřů (podle průměru koruny) - do 1,5 m</t>
  </si>
  <si>
    <t>pouze kořenová místa keřů</t>
  </si>
  <si>
    <t>3.6</t>
  </si>
  <si>
    <t>cca 30% plochy</t>
  </si>
  <si>
    <t>2.5</t>
  </si>
  <si>
    <t>Vyhrabání souvislé plochy do 1000 m2 v rovině nebo na svahu do 1:5</t>
  </si>
  <si>
    <t>listí ze stromů v záhonech, 1x ročně na podzim</t>
  </si>
  <si>
    <r>
      <t>Plocha trávníku je v prostoru MTZ celkem 519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</si>
  <si>
    <t>Prořezání trávníku hloubky do 5 mm s přísevem travního osiva, při souvislé ploše do 1000 m2 v rovině nebo na svahu do 1:6</t>
  </si>
  <si>
    <t>Osivo směs travní parková</t>
  </si>
  <si>
    <t>005724100</t>
  </si>
  <si>
    <t>6.4</t>
  </si>
  <si>
    <t>6.5</t>
  </si>
  <si>
    <t>6.6</t>
  </si>
  <si>
    <t>6.7</t>
  </si>
  <si>
    <t>6.8</t>
  </si>
  <si>
    <r>
      <t>Vyhrabání souvislé plochy do 1000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v rovině nebo na svahu do 1:5</t>
    </r>
  </si>
  <si>
    <t>1x/2 roky</t>
  </si>
  <si>
    <r>
      <t>Plocha všech cest a zpevněných ploch v areálu MTZ je celkem 2 374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 Jedná se o betonovou dlažbu v pojezdové ploše a výsivku v ploše u posezení.</t>
    </r>
  </si>
  <si>
    <t>plocha 10% dlážděné plochy</t>
  </si>
  <si>
    <t>jarní a podzimní, plocha 10%</t>
  </si>
  <si>
    <t>8.3</t>
  </si>
  <si>
    <t>celá plocha výsivky u posezení</t>
  </si>
  <si>
    <t>Lavičky a stoly - očištění, případně omytí</t>
  </si>
  <si>
    <t>V areálu MTZ se nachází 4 ks laviček a 2 ks stolů (v ploše posezení), 1 ks odpadkového koše.</t>
  </si>
  <si>
    <t>soub</t>
  </si>
  <si>
    <t>Zumulčovaná plocha ("Záhon se stromem")</t>
  </si>
  <si>
    <t>Zamulčovaná plocha - Záhon se stromem</t>
  </si>
  <si>
    <r>
      <t>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</si>
  <si>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Tématické rastrové záhony CELKEM:</t>
  </si>
  <si>
    <t>Lékárenská zahrada</t>
  </si>
  <si>
    <t>Sezónní výstavní záhon</t>
  </si>
  <si>
    <t>Břeh řeky Labe</t>
  </si>
  <si>
    <t>Záhon krkonošských plodin</t>
  </si>
  <si>
    <t>Vřesoviště</t>
  </si>
  <si>
    <t>Záhon polních plevelů a obilovin</t>
  </si>
  <si>
    <t>Klášterní zahrada</t>
  </si>
  <si>
    <t>Horská krkonošská louka</t>
  </si>
  <si>
    <t>Zapojená skupina pnoucích dřevin stálezelených</t>
  </si>
  <si>
    <t>Zapojená skupina pnoucích dřevin listnatých</t>
  </si>
  <si>
    <t>Soliterní stromy ovocné</t>
  </si>
  <si>
    <t>Soliterní ovocné stromy</t>
  </si>
  <si>
    <t>Soliterní stromy ovocné - nová výsadba</t>
  </si>
  <si>
    <t>Celkem 8 ks ovocných stromů nově vysazených, podél západní zdi klášterní zahrady.</t>
  </si>
  <si>
    <t>Likvidace vzniklého klestu</t>
  </si>
  <si>
    <t>včetně dopravy na místo uložení a veškeré manipulace</t>
  </si>
  <si>
    <t>Soliterní stromy ovocné - uhynulé, určené k odstranění</t>
  </si>
  <si>
    <t>Soliterní ovocné stromy - uhynulé, určené k odstranění</t>
  </si>
  <si>
    <t>Celkem 2 ks ovocných stromů nově vysazených, podél západní zdi klášterní zahrady, které uhynuly a je třeba je odstranit.</t>
  </si>
  <si>
    <t>Kácení stromů volné - průměr kmene na řezné ploše pařezu 11-20 cm</t>
  </si>
  <si>
    <r>
      <t>Plocha trávníku v celém prostoru klášterních zahrad je celkem 7 797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</si>
  <si>
    <t>Dožnutí lemů trávníků po strojovém sečení - křovinořezem</t>
  </si>
  <si>
    <t>7.8</t>
  </si>
  <si>
    <r>
      <t>Plocha všech cest a zpevněných ploch v klášterní zahradě je celkem 1 357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 Jedná se o kamennou dlažbu na hlavní komunikační ose, příjezdové komunikaci k Záchranné stanici pro handicapované živočichy a mlat v ploše kolem tématických rastrových záhonů.</t>
    </r>
  </si>
  <si>
    <t>30% zpevněných ploch</t>
  </si>
  <si>
    <t>30% plochy</t>
  </si>
  <si>
    <t>10.1</t>
  </si>
  <si>
    <t>10.2</t>
  </si>
  <si>
    <t>10.3</t>
  </si>
  <si>
    <t>Tématické rastrové záhony</t>
  </si>
  <si>
    <t>8.4</t>
  </si>
  <si>
    <t>8.5</t>
  </si>
  <si>
    <t>8.6</t>
  </si>
  <si>
    <r>
      <t>Plocha záhonu 168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. Luční společenstvo.
</t>
    </r>
  </si>
  <si>
    <t>8.6.1</t>
  </si>
  <si>
    <t>8.7</t>
  </si>
  <si>
    <t>8.8</t>
  </si>
  <si>
    <t>8.9</t>
  </si>
  <si>
    <t>Subalpinská vysokohorská křovinná vegetace</t>
  </si>
  <si>
    <t>KLÁŠTERNÍ ZAHRADY, včetně Tématických rastrových záhonů</t>
  </si>
  <si>
    <t>VENKOVNÍ UČEBNA KRNAP</t>
  </si>
  <si>
    <t>13 ks nově vysazených stromů v prostoru venkovní učebny. Kontrolovat kotvící a ochranné prvky a provádět výchovný řez dle potřeby.</t>
  </si>
  <si>
    <r>
      <t>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</si>
  <si>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Chemické odplevelení postřikem hnízdově v rovině a svahu do 1:5</t>
  </si>
  <si>
    <r>
      <t>Plocha trávníku je v areálu venkovní učebny celkem 4 857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</si>
  <si>
    <t>10% plochy štěrkové plochy</t>
  </si>
  <si>
    <r>
      <t>Plocha všech cest a zpevněných ploch v areálu venkovní učebny je celkem 1 284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 Jedná se o kamennou dlažbu v hlavní komunikační ose (817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) a vedlejší mlatové cesty (347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). Geologická stezka (120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) je tvořena dřevěnou terasou s informačními panely.</t>
    </r>
  </si>
  <si>
    <t xml:space="preserve">plocha 30% </t>
  </si>
  <si>
    <t>Soliterní keře listnaté</t>
  </si>
  <si>
    <t>Odstranění pařezu frézováním</t>
  </si>
  <si>
    <t>Odstranění pařezu frézováním do 20 cm hloubky</t>
  </si>
  <si>
    <t>provede se pouze 1x celkově, naceněno jako 1/4 ceny; plocha = plocha zásahu včetně kořenových náběhů; včetně odklizení dřeva a složení na hromady, zasypání jámy a doplnění zeminy, zhutnění a úprava terénu</t>
  </si>
  <si>
    <r>
      <t>m</t>
    </r>
    <r>
      <rPr>
        <vertAlign val="superscript"/>
        <sz val="11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</si>
  <si>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Řez soliterních keřů (podle průměru koruny) - přes 1,5 do 3 m</t>
  </si>
  <si>
    <t>Řez soliterních keřů (podle průměru koruny) - přes 3 m</t>
  </si>
  <si>
    <t>Vypletí v rovině nebo na svahu do 1:5 - okrajů keřů</t>
  </si>
  <si>
    <t>okraje - 30% plochy</t>
  </si>
  <si>
    <t>Soliterní keře jehličnaté</t>
  </si>
  <si>
    <t>Okolí geologické stezky</t>
  </si>
  <si>
    <t>9.4</t>
  </si>
  <si>
    <t>9.5</t>
  </si>
  <si>
    <t>9.6</t>
  </si>
  <si>
    <t>11.1</t>
  </si>
  <si>
    <t>11.2</t>
  </si>
  <si>
    <t>11.3</t>
  </si>
  <si>
    <t>11.4</t>
  </si>
  <si>
    <t>11.5</t>
  </si>
  <si>
    <t>11.6</t>
  </si>
  <si>
    <t>11.7</t>
  </si>
  <si>
    <t>12.1</t>
  </si>
  <si>
    <t>13.1</t>
  </si>
  <si>
    <t>14.1.</t>
  </si>
  <si>
    <t>14.2</t>
  </si>
  <si>
    <t>15.1</t>
  </si>
  <si>
    <t>15.2</t>
  </si>
  <si>
    <t>15.3</t>
  </si>
  <si>
    <r>
      <t>Dva pařezy vedle sebe, v blízkosti Smyslové nášlapné stezky. Plocha cca 1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</si>
  <si>
    <t>ZÁMECKÝ PARK</t>
  </si>
  <si>
    <t>Lavičky - úklid na zimní období, rozvoz a instalace na jaře</t>
  </si>
  <si>
    <t>Odpadkové koše - úklid na zimní období, rozvoz a instalace na jaře</t>
  </si>
  <si>
    <t>V areálu zámeckého parku se nachází 19 ks laviček a 16 ks odpadkových košů. V prostoru u betléma se potom nachází 5 stolů s celkem 10 ks lavic. Dále potom 23 ks lamp VO, 1 ks stojanu na kola, 1 socha, 2 hydranty, 2 dřevěné objekty (krmítko apod.) a 1 můstek přes vodní náhon.</t>
  </si>
  <si>
    <t>kromě laviček se stoly u betlému</t>
  </si>
  <si>
    <t>Porostní lem parku</t>
  </si>
  <si>
    <r>
      <t>Prostor mezi okružní cestou a hranicí parku. Celkem plocha 15 894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Z toho plocha přibližně 4 173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(podél západní strany parku) je ve svahu max 1:2.</t>
    </r>
  </si>
  <si>
    <r>
      <t>Výsadba trvalek (Ligularia) u jezírka. Plocha cca 58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. </t>
    </r>
  </si>
  <si>
    <t>Plocha s mulčem - štěpkou</t>
  </si>
  <si>
    <t>Odstranění ruderálního porostu z plochy do 100 m2 v rovině a svahu do 1:5</t>
  </si>
  <si>
    <t>Odstranění ruderálního porostu z plochy přes 100 do 500 m2 v rovině a svahu do 1:5</t>
  </si>
  <si>
    <r>
      <t>Odstranění stařiny ze souvislé plochy do 100 m</t>
    </r>
    <r>
      <rPr>
        <vertAlign val="superscript"/>
        <sz val="11"/>
        <color theme="1"/>
        <rFont val="Arial"/>
        <family val="2"/>
        <charset val="238"/>
      </rPr>
      <t xml:space="preserve">2  </t>
    </r>
    <r>
      <rPr>
        <sz val="11"/>
        <color theme="1"/>
        <rFont val="Arial"/>
        <family val="2"/>
        <charset val="238"/>
      </rPr>
      <t>v rovině nebo svahu do 1:5</t>
    </r>
  </si>
  <si>
    <t>Obdělání půdy vláčením v rovině nebo svahu do 1:5</t>
  </si>
  <si>
    <r>
      <t>Plocha trávníku v extenzivnějších částech parku, celkem 34 879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</si>
  <si>
    <t>Ruderální plocha u vily</t>
  </si>
  <si>
    <r>
      <t>Plocha u vodní plochy, kde se srocují a pobývají kachny, rozloha 163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</si>
  <si>
    <r>
      <t>Odstranění nevhodných dřevin přes 500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, výšky nad 1 m s odstraněním pařezů v rovině nebo svahu 1:5</t>
    </r>
  </si>
  <si>
    <t>odstranění náletů, 10% plochy</t>
  </si>
  <si>
    <r>
      <t>Odstranění nevhodných dřevin do 100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,výšky nad 1 m s odstraněním pařezů v rovině nebo svahu 1:5</t>
    </r>
  </si>
  <si>
    <t>Zapojená skupina keřů vřesovištní</t>
  </si>
  <si>
    <t>Obdělání půdy rytím v rovině a svahu do 1:5</t>
  </si>
  <si>
    <t>Obdělání půdy hrabáním v rovině a svahu do 1:5</t>
  </si>
  <si>
    <t>Hnojení kompostem v rovině a svahu do 1:5</t>
  </si>
  <si>
    <t>Dodávka kompostu</t>
  </si>
  <si>
    <t>Založení lučního trávníku výsevem plochy do 1000 m2 v rovině a svahu do 1:5</t>
  </si>
  <si>
    <t>Dodávka osiva letniček</t>
  </si>
  <si>
    <r>
      <t>3g/m</t>
    </r>
    <r>
      <rPr>
        <vertAlign val="superscript"/>
        <sz val="11"/>
        <color theme="1"/>
        <rFont val="Arial"/>
        <family val="2"/>
        <charset val="238"/>
      </rPr>
      <t>2</t>
    </r>
  </si>
  <si>
    <t>12.2</t>
  </si>
  <si>
    <t>12.3</t>
  </si>
  <si>
    <t>14.1</t>
  </si>
  <si>
    <t>16.1</t>
  </si>
  <si>
    <t>16.2</t>
  </si>
  <si>
    <t>16.3</t>
  </si>
  <si>
    <t>16.4</t>
  </si>
  <si>
    <t>16.5</t>
  </si>
  <si>
    <t>Trávník parkový - před "KRTKEM"</t>
  </si>
  <si>
    <t>8.10</t>
  </si>
  <si>
    <t>8.11</t>
  </si>
  <si>
    <t>Letničkový záhon</t>
  </si>
  <si>
    <t>V areálu klášterní zahrady se nachází 5 ks klasických parkových laviček, na zídkách rastrových záhonů potom 5 ks dřevěných sedáků. V zahradě je celkem 8 ks odpadkových košů, 5 ks lamp VO, 14 informační tabule a 2 můstky přes vodní náhon (kombinace kámen+dřevo).</t>
  </si>
  <si>
    <t>Výška</t>
  </si>
  <si>
    <t>Plocha</t>
  </si>
  <si>
    <t>m</t>
  </si>
  <si>
    <t>SK1</t>
  </si>
  <si>
    <t>SK2</t>
  </si>
  <si>
    <t>SK3</t>
  </si>
  <si>
    <t>SK4</t>
  </si>
  <si>
    <t>4</t>
  </si>
  <si>
    <t>SK5</t>
  </si>
  <si>
    <t>3</t>
  </si>
  <si>
    <t>SK6</t>
  </si>
  <si>
    <t>-</t>
  </si>
  <si>
    <t>SK7</t>
  </si>
  <si>
    <t>SK8</t>
  </si>
  <si>
    <t>SK9</t>
  </si>
  <si>
    <r>
      <t>m</t>
    </r>
    <r>
      <rPr>
        <b/>
        <vertAlign val="superscript"/>
        <sz val="10"/>
        <rFont val="Arial"/>
        <family val="2"/>
        <charset val="238"/>
      </rPr>
      <t>2</t>
    </r>
  </si>
  <si>
    <t>ZP</t>
  </si>
  <si>
    <t>Parcela</t>
  </si>
  <si>
    <t>Vegetační prvek dle Plánu údržby</t>
  </si>
  <si>
    <t>1-4</t>
  </si>
  <si>
    <t>25x Rhododendron sp., 5x Taxus baccata, 10x Taxus cuspidata, +Azalea sp.+Cornus stolonifera ´Flaviramea´</t>
  </si>
  <si>
    <t>15x Taxus baccata</t>
  </si>
  <si>
    <t>21x Taxus baccata</t>
  </si>
  <si>
    <t>2-3</t>
  </si>
  <si>
    <r>
      <t>Symphoricarpos sp. 90</t>
    </r>
    <r>
      <rPr>
        <sz val="10"/>
        <rFont val="Calibri"/>
        <family val="2"/>
        <charset val="238"/>
      </rPr>
      <t>%</t>
    </r>
    <r>
      <rPr>
        <sz val="10"/>
        <rFont val="Arial"/>
        <family val="2"/>
        <charset val="238"/>
      </rPr>
      <t>, +Picea, +Taxus baccata</t>
    </r>
  </si>
  <si>
    <t>2</t>
  </si>
  <si>
    <t>Rozvolněná skupina keřů listnatá.</t>
  </si>
  <si>
    <t>10.4</t>
  </si>
  <si>
    <t>10.5</t>
  </si>
  <si>
    <t>10.6</t>
  </si>
  <si>
    <t>10.7</t>
  </si>
  <si>
    <t>14.3</t>
  </si>
  <si>
    <t>14.4</t>
  </si>
  <si>
    <t>151</t>
  </si>
  <si>
    <t>18.1</t>
  </si>
  <si>
    <t>18.2</t>
  </si>
  <si>
    <t>18.3</t>
  </si>
  <si>
    <t>18.4</t>
  </si>
  <si>
    <t>18.5</t>
  </si>
  <si>
    <r>
      <t>Celkem se v parku nachází 24 ks pařezů, o celkové ploše 21,7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</si>
  <si>
    <t>Zapojená velká skupina keřů, stromů i náletů, rozdělená tokem náhonu.</t>
  </si>
  <si>
    <t>54, 55/5</t>
  </si>
  <si>
    <t>Salix sp.</t>
  </si>
  <si>
    <t>Juniperus sp. 80%, Rosa canina, Chaenomeles sp.</t>
  </si>
  <si>
    <t>1,2</t>
  </si>
  <si>
    <t>SK10</t>
  </si>
  <si>
    <t>SK11</t>
  </si>
  <si>
    <t>SK12</t>
  </si>
  <si>
    <t>SK13</t>
  </si>
  <si>
    <t>SK14</t>
  </si>
  <si>
    <t>SK15</t>
  </si>
  <si>
    <t>SK16</t>
  </si>
  <si>
    <t>SK17</t>
  </si>
  <si>
    <t>SK18</t>
  </si>
  <si>
    <t>SK19</t>
  </si>
  <si>
    <t>SK20</t>
  </si>
  <si>
    <t>SK21</t>
  </si>
  <si>
    <t>SK22</t>
  </si>
  <si>
    <t>SK23</t>
  </si>
  <si>
    <t>SK24</t>
  </si>
  <si>
    <t>SK25</t>
  </si>
  <si>
    <t>SK26</t>
  </si>
  <si>
    <t>SK27</t>
  </si>
  <si>
    <t>SK28</t>
  </si>
  <si>
    <t>SK29</t>
  </si>
  <si>
    <t>SK30</t>
  </si>
  <si>
    <t>SK31</t>
  </si>
  <si>
    <t>SK32</t>
  </si>
  <si>
    <t>SK33</t>
  </si>
  <si>
    <t>SK34</t>
  </si>
  <si>
    <t>SK35</t>
  </si>
  <si>
    <t>SK36</t>
  </si>
  <si>
    <t>Taxus baccata 2 ks</t>
  </si>
  <si>
    <t>3-4</t>
  </si>
  <si>
    <t>5</t>
  </si>
  <si>
    <t>Juniperus sp., Symphoricarpos sp.</t>
  </si>
  <si>
    <t>1,1</t>
  </si>
  <si>
    <t>Berberis sp., Chaenomeles sp., Taxus baccata</t>
  </si>
  <si>
    <t>Viburnum opulus, Cornus sp., Amelanchier sp.</t>
  </si>
  <si>
    <t>1-6</t>
  </si>
  <si>
    <t xml:space="preserve">Rhododendron sp. </t>
  </si>
  <si>
    <t>Rhododendron sp. 80%,, Taxus baccata 20%,</t>
  </si>
  <si>
    <t>Taxus baccata, Viburnum x rhytidophyllum, +Rhododendron</t>
  </si>
  <si>
    <t>59/3, 59/9</t>
  </si>
  <si>
    <t>59/3, 59/10</t>
  </si>
  <si>
    <t>Cornus stolonifera 100%</t>
  </si>
  <si>
    <t>55/5, 54</t>
  </si>
  <si>
    <t>Alnus glutinosa 100%</t>
  </si>
  <si>
    <t>1x Spiraea x vanhouttei, 1x Ribes alpinum, 1x Viburnum opulus, 1x Forsythia sp., 1x Philadelphus sp.</t>
  </si>
  <si>
    <t>Taxus baccata 7 ks</t>
  </si>
  <si>
    <t>Cornus sp., Parthenocissus quinquefolia, Salix sp.</t>
  </si>
  <si>
    <t>1,5</t>
  </si>
  <si>
    <t>Forsythia sp., Parthenocissus quinquefolia</t>
  </si>
  <si>
    <t>Parthenocissus quinquefolia, Hedera helix, svlačec</t>
  </si>
  <si>
    <t>Hedera helix</t>
  </si>
  <si>
    <t>0,5</t>
  </si>
  <si>
    <t>Ribes alpinum 4 ks, Viburnum sp. 1 ks</t>
  </si>
  <si>
    <t>Cotoneaster sp.</t>
  </si>
  <si>
    <t>0,05</t>
  </si>
  <si>
    <t>Hedera helix, Pyracantha coccinea, Ribes alpinum</t>
  </si>
  <si>
    <t>75/9, 75/3</t>
  </si>
  <si>
    <t>1</t>
  </si>
  <si>
    <t xml:space="preserve">2782/3, 75/9 </t>
  </si>
  <si>
    <t>Spiraea cinerea, Spiraea japonica, Forsythia sp., Parthenocissus quinquefolia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</si>
  <si>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</si>
  <si>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</si>
  <si>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</si>
  <si>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</si>
  <si>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</si>
  <si>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</si>
  <si>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</si>
  <si>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</si>
  <si>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</si>
  <si>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</si>
  <si>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Druh</t>
  </si>
  <si>
    <t>Taxus baccata</t>
  </si>
  <si>
    <t>Pinus mugo</t>
  </si>
  <si>
    <t>Juniperus sp.</t>
  </si>
  <si>
    <t>0,8</t>
  </si>
  <si>
    <t>Cornus stolonifera ´Flaviramea´</t>
  </si>
  <si>
    <t>Philadelphus sp.</t>
  </si>
  <si>
    <t>3,5</t>
  </si>
  <si>
    <t>Symphoricarpos albus</t>
  </si>
  <si>
    <t>ŽP1</t>
  </si>
  <si>
    <t>ŽP2</t>
  </si>
  <si>
    <t>ŽP3</t>
  </si>
  <si>
    <t>ŽP4</t>
  </si>
  <si>
    <t>Parthenocissus quinquefolia, 4 ks</t>
  </si>
  <si>
    <t>Popínavé rostliny bodově</t>
  </si>
  <si>
    <r>
      <t>Dva záhony před HIS, plocha 15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a 13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 Každoročně zakládané záhony se směsí letniček (vyšší, barevná). Výška porostu: 50-60 cm, doba kvetení: červen - září, barevnost: modrá, oranžová, červená. Nosné druhy letniček ve směsi: Centaurea (Chrpa), Linum (Len), Borago (Brutnák), Consolida (Ostřožka), Calendula (Měsíček), Limonium (Limonka), Nigella (Černucha).</t>
    </r>
  </si>
  <si>
    <t>Carpinus betulus</t>
  </si>
  <si>
    <t>SKUPINY KEŘŮ</t>
  </si>
  <si>
    <t>ŽIVÉ PLOTY</t>
  </si>
  <si>
    <t>KEŘE</t>
  </si>
  <si>
    <t>1 ks javor (Acer cappadocicum), 1 ks bříza (Betula), 1 ks líska turecká (Coryllus avellana), 1 ks habr (Carpinus betulus).</t>
  </si>
  <si>
    <r>
      <t>Celkem 2 tisy (Taxus baccata) o celkové ploše 126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a 1 ks Pinus mugo v centrálním prostoru (12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).</t>
    </r>
  </si>
  <si>
    <r>
      <t>Odstranění nevhodných dřevin do 100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, výšky nad 1 m s odstraněním pařezů v rovině nebo svahu 1:5</t>
    </r>
  </si>
  <si>
    <r>
      <t>SK7; 4 ks vrby (Salix), plocha celkem 85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</si>
  <si>
    <r>
      <t>Odstranění ruderálního porostu z plochy do 100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v rovině a svahu do 1:5</t>
    </r>
  </si>
  <si>
    <t>1x Pinus mugo, 2x Salix sp. + Sorbus aucuparia, Betula</t>
  </si>
  <si>
    <r>
      <t>SK11, plocha celkem 146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 1 ks Pinus mugo, 2 ks Salix sp. Řezat pouze vrby, pokud bude třeba.</t>
    </r>
  </si>
  <si>
    <r>
      <t>Celkem 4 skupiny Taxus baccata (SK2, SK3, SK9, SK10) o celkové ploše 530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</si>
  <si>
    <r>
      <t>V parku se nachází celkem 7 zapojených skupin keřů smíšených (SK5, SK6, SK8, SK12, SK13, SK14, SK17). Celková plocha činí 2 856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</si>
  <si>
    <t>Rhododendron sp., Taxus baccata, Cornus stolonifera ´Flaviramea´, Cotoneaster sp., Berberis, Coryllus avellana, Salix sp., Chamaecyparis sp.</t>
  </si>
  <si>
    <t>Termín řezu</t>
  </si>
  <si>
    <t>Řez u rododendronů provádíme jen u starších keřů. Odstraňujeme jen větve, z kterých opadávají listy. Řežeme je až ke starému dřevu. Tento tzv. zpětný řez provádíme nejlépe ​v dubnu​, abychom podpořili tvorbu nových výhonů v tomtéž roce.</t>
  </si>
  <si>
    <t>řezat na jaře (duben-květen); kromě Chamaecyparis; Taxus dle potřeby (snese i zmlazení)-v předjaří (III-IV) či na konci června; Rhododendron-odstraňovat jen starší větve, ideálně v dubnu</t>
  </si>
  <si>
    <t>Řez keřů v zápoji - průklest (prosvětlování);  včetně rozřezání, vodorovného přemístění pro likvidaci či odvoz a složení na hromady do 20 m od místa zásahu</t>
  </si>
  <si>
    <t>10% plochy; řezat na jaře (duben-květen); kromě Chamaecyparis (ten vůbec); Taxus dle potřeby (snese i zmlazení)-v předjaří (III-IV) či na konci června; Rhododendron-odstraňovat jen starší větve, ideálně v dubnu</t>
  </si>
  <si>
    <t>řezat pouze v nutném případě, kdy např. zasahují do cesty apod.  -  v předjaří (III-IV) či na konci června</t>
  </si>
  <si>
    <t>řezat pouze tisy (zmlazují) v nutném případě, kdy např. zasahují do cesty apod.  -  v předjaří (III-IV) či na konci června, borovici kleč neřezat (či pouze v nutném případě)0 m od místa zásahu</t>
  </si>
  <si>
    <t>Řez soliterních keřů - dle průměru koruny přes 3 m; včetně rozřezání, vodorovného přemístění pro likvidaci či odvoz a složení na hromady do 2</t>
  </si>
  <si>
    <t>řezat v nutném případě, březen-květen</t>
  </si>
  <si>
    <r>
      <t>V parku se nachází celkem 6 skupin (SK1, SK4, SK15, SK16, SK18, SK19), o celkové výměře 3 316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</si>
  <si>
    <t>Rhododendron sp.</t>
  </si>
  <si>
    <t>odstraňovat jen starší větve, ideálně v dubnu</t>
  </si>
  <si>
    <t>Rhododendron-odstraňovat jen starší větve, ideálně v dubnu; Taxus řezat dle potřeby (snese i zmlazení)-v předjaří (III-IV) či na konci června</t>
  </si>
  <si>
    <r>
      <t>20 g/m</t>
    </r>
    <r>
      <rPr>
        <vertAlign val="super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>, na jaře</t>
    </r>
  </si>
  <si>
    <t>hlavní doba řezu pro habr spadá na konec zimy, případně konec května nebo od konce července do začátku srpna</t>
  </si>
  <si>
    <r>
      <t>20 g/m</t>
    </r>
    <r>
      <rPr>
        <vertAlign val="super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>; na začátku vegetačního období - obvykle v dubnu, nejpozději pak v srpnu</t>
    </r>
  </si>
  <si>
    <r>
      <t>Živý plot u vily (ŽP1) v jihozápadním rohu parku. Habr obecný, výška cca 1,5 m, plocha 24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</si>
  <si>
    <r>
      <t>20 g/m</t>
    </r>
    <r>
      <rPr>
        <vertAlign val="super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>; na jaře</t>
    </r>
  </si>
  <si>
    <r>
      <t>trávníky se začínají kosit dle průběhu počasí, zpravidla od konce dubna do října (až klesne teplota trvale pod +5</t>
    </r>
    <r>
      <rPr>
        <sz val="11"/>
        <color theme="1"/>
        <rFont val="Calibri"/>
        <family val="2"/>
        <charset val="238"/>
      </rPr>
      <t>˚C</t>
    </r>
    <r>
      <rPr>
        <sz val="11"/>
        <color theme="1"/>
        <rFont val="Arial"/>
        <family val="2"/>
        <charset val="238"/>
      </rPr>
      <t>)</t>
    </r>
  </si>
  <si>
    <t>na jaře (konec března až konec dubna) nebo na podzim (přelom srpna a září – až konec září); trávník nesmí být podmáčený! Před vertikutací trávník posekat.</t>
  </si>
  <si>
    <t>plocha 30% v blízkosti stromů a skupin stromů nebo keřů; termín únor-březen</t>
  </si>
  <si>
    <t>může se provádět po celé vegetační období, především však na jaře a v pozdním létě, pokud je půda přiměřeně vlhká</t>
  </si>
  <si>
    <r>
      <t>20 g/m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, ideálně na jaře těsně před začátkem vegetačního období (III-IV), nejpozději však do pol. srpna; vhodné trávník pohnojit v návaznosti na vertikutaci</t>
    </r>
  </si>
  <si>
    <t xml:space="preserve">Optimální termín pro vláčení je březen, nejpozději pak do poloviny dubna, dokud není porost obrostlý (převážně zelený). </t>
  </si>
  <si>
    <t>okraj porostního lemu cca 30%, vyhrabat listí, na jaře (II-III)</t>
  </si>
  <si>
    <r>
      <t>Vyhrabání souvislé plochy do 10 000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ve svahu do 1:2</t>
    </r>
  </si>
  <si>
    <r>
      <t>Odstranění nevhodných dřevin přes 500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výšky nad 1 m s odstraněním pařezů ve svahu 1:2</t>
    </r>
  </si>
  <si>
    <t>Vyhrabání souvislé plochy přes 1000 do 10 000 m2 v rovině nebo na svahu do 1:5</t>
  </si>
  <si>
    <r>
      <t>Plocha za živým plotem vedle vily v jihozápadní části parku, o rozloze 278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</si>
  <si>
    <r>
      <t>Pokosení trávníku parkového plochy do 1000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s odvozem do 20 km v rovině a svahu do 1:5</t>
    </r>
  </si>
  <si>
    <t>pouze jednou celkově</t>
  </si>
  <si>
    <r>
      <t>Založení trávníku parkového plochy do 1000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výsevem v rovině nebo svahu do 1:5</t>
    </r>
  </si>
  <si>
    <t>Úprava půdy frézováním v rovině nebo svahu do 1:5</t>
  </si>
  <si>
    <t>Úprava půdy hrabáním v rovině nebo svahu do 1:5</t>
  </si>
  <si>
    <r>
      <t>Chemické odplevelení před založením kultury nad 20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postřikem na široko v rovině a svahu do 1:5</t>
    </r>
  </si>
  <si>
    <t>Uválcování trávníku v rovině a svahu do 1:5</t>
  </si>
  <si>
    <r>
      <t>pouze jednou celkově, 30g/m</t>
    </r>
    <r>
      <rPr>
        <vertAlign val="superscript"/>
        <sz val="11"/>
        <color theme="1"/>
        <rFont val="Arial"/>
        <family val="2"/>
        <charset val="238"/>
      </rPr>
      <t>2</t>
    </r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</si>
  <si>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</si>
  <si>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</si>
  <si>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</si>
  <si>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</si>
  <si>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</si>
  <si>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</si>
  <si>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</si>
  <si>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</si>
  <si>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</si>
  <si>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v návaznosti na ošetření stromů arboristy; včetně dopravy na místo uložení a veškeré manipulace</t>
  </si>
  <si>
    <t>10% celkové plochy; termín X-III</t>
  </si>
  <si>
    <r>
      <t>Prořezání trávníku hloubky do 5 mm bez přísevu travního osiva, při souvislé ploše přes 1000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v rovině nebo na svahu do 1:5</t>
    </r>
  </si>
  <si>
    <r>
      <t>Vyhrabání trávníku souvislé plochy přes 1000 do 10 000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v rovině nebo na svahu do 1:5</t>
    </r>
  </si>
  <si>
    <r>
      <t>Plocha trávníku / květnaté louky uprostřed Smyslové nášlapné stezky, výměra 114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</si>
  <si>
    <t>trávníky se začínají kosit dle průběhu počasí, zpravidla od konce dubna do října (až klesne teplota trvale pod +5˚C)</t>
  </si>
  <si>
    <t>plocha 50%, především v blízkosti stromů a živého plotu; termín únor-březen</t>
  </si>
  <si>
    <t>Přistavení kontejneru na trávu vč. likvidace</t>
  </si>
  <si>
    <t>Lavičky a informační panely - očištění, případně omytí</t>
  </si>
  <si>
    <t>V areálu venkovní učebny se nachází pouze 1 ks lavičky, 2 ks odpadkového koše, 8 ks lamp VO, 7 ks informačních tabulí (u geologické stezky).</t>
  </si>
  <si>
    <t>15.4</t>
  </si>
  <si>
    <t>Zprovoznění a vypuštění automatického závlahové systému - Krkonošské centrum environmentálního vzdělávání</t>
  </si>
  <si>
    <t>zprovoznění na jaře, vypuštění na podzim</t>
  </si>
  <si>
    <r>
      <t>1 ks Cornus stolonifera ´Flaviramea´ (K8, 35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), 1 ks Symphoricarpos albus (K10, 2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), 1 ks Philadelphus sp. (K9, 11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). Celkem 3 keře o celkové ploše 48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.
</t>
    </r>
  </si>
  <si>
    <t>K10, Symphoricarpos se řeže na jaře</t>
  </si>
  <si>
    <t>K8 a K9 - tyto keře se řežou dle potřeby na jaře (III-V)</t>
  </si>
  <si>
    <r>
      <t>1 ks Pinus mugo (K4, 35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), 1 ks Taxus baccata (K5, 29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), 1 ks polehlého jalovce (K6, 14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), 1 ks Taxus baccata (K7, 109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). Celkem 4 keře o celkové ploše 187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.
</t>
    </r>
  </si>
  <si>
    <t>jehličnaté keře řežeme pouze jen pokud zasahují do cesty, buď v předjaří (II-IV) nebo uprostřed léta (VII-VIII); pouze tisu nevadí zmlazení</t>
  </si>
  <si>
    <r>
      <t>Skupina Cornus sp. (SK20, 116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), SK21 (32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, Spiraea x vanhouttei, Ribes alpinum, Viburnum opulus, Forsythia, Philadelphus), SK24 (7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, Forsythia, Parthenocissus), SK25 (8,5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). Celkem 4 skupiny keřů o celkové ploše 163,5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.
</t>
    </r>
  </si>
  <si>
    <t>Řez keřů v zápoji - průklest (prosvětlování), včetně rozřezání, vodorovného přemístění pro likvidaci či odvoz a složení na hromady do 20 m od místa zásahu</t>
  </si>
  <si>
    <t>30% plochy; keře řežeme na jaře (III-V), Forsythia po odkvětu (V), Ribes a Viburnum v předjaří (I-III)</t>
  </si>
  <si>
    <r>
      <t>Olše podél vodní nádrže (SK22) - udržovat řezem v rozvolněném zápoji - dle potřeby odstraňovat nálety. Plocha cca 150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</si>
  <si>
    <t>Řez keřů v zápoji - zmlazení (řez sesazovací), včetně rozřezání, vodorovného přemístění pro likvidaci či odvoz a složení na hromady do 20 m od místa zásahu</t>
  </si>
  <si>
    <t>50% plochy; olše řežeme na začátku vegetační sezóny (III-IV)</t>
  </si>
  <si>
    <r>
      <t>Skupina 7 ks Taxus baccata (SK23). Plocha celkem 18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</si>
  <si>
    <t>1x/4 roky zmlazení; termín: v předjaří (II-IV)</t>
  </si>
  <si>
    <t>2x ročně jako podpora zavětvení; 1. konec zimy (případně konec května), 2. termín od konce července do začátku srpna</t>
  </si>
  <si>
    <r>
      <t>Plocha podél dřevěné terasy geologické stezky, ve štěrku, s balvany a domácími horskými druhy rostlin (70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), kde je třeba ničit plevele, které tam nepatří. Dále potom porost rostlin vedle dřevěné terasy směrem k vodě (50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), kde je třeba na jaře vyhrabat uschlou rostlinnou hmotu především z "rákosí". Celková plocha je 120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</si>
  <si>
    <t>v předjaří, záhon u vody</t>
  </si>
  <si>
    <t>úkon pouze jednorázově</t>
  </si>
  <si>
    <r>
      <t>Živý plot ŽP3 (Viburnum sp. a další dřeviny) o celkové ploše 118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 Plot ve dvou řadách. Nutno především řezat / tvarovat a plet.</t>
    </r>
  </si>
  <si>
    <t>Viburnum se řeže v předjaří (II-III)</t>
  </si>
  <si>
    <r>
      <t>Stěna trafostanice (SK27) porostlá z dvou stran popínavými dřevinami (přísavník, břečťan, svlačec) na dřevěné treláži. Plocha záhonu je 6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 Údržba spočívá v odplevelování záhonu a občasném řezu dřevin.</t>
    </r>
  </si>
  <si>
    <t>brzy na jaře odstraňujeme nežádoucí výhony</t>
  </si>
  <si>
    <t>především plocha v sadu a pod ovocnými stromy podél západní zdi; termín únor-březen</t>
  </si>
  <si>
    <t>Na jaře (konec března až konec dubna) nebo na podzim (přelom srpna a září – až konec září); trávník nesmí být podmáčený! Před vertikutací trávník posekat.</t>
  </si>
  <si>
    <r>
      <t>9 tématických rastrových záhonů v klášterní zahradě. Celková plocha všech záhonů je 1 163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 Každý záhon má svou individuální kompozici a obsahuje určitý sortiment rostlin - trvalek, letniček, dvouletek i cibulovin.</t>
    </r>
  </si>
  <si>
    <t>Lavičky a infopanely - očištění, případně omytí</t>
  </si>
  <si>
    <t>Skupina 5 ks (SK29) listnatých keřů (Ribes alpinum, Viburnum sp.) v travnaté ploše na parkovišti. Udržovat řezem, mulčovat kořenovou mísu 1x/2 roky.</t>
  </si>
  <si>
    <t>řez v předjaří (II-III)</t>
  </si>
  <si>
    <t>20 g/keř, na jaře</t>
  </si>
  <si>
    <t>Porost břečťanu na dřevěném plotu u vjezdu do areálu MTZ (SK28). Břečťan vyrůstá z druhé strany plotu, nikoliv tedy v řešeném území. Nutno však udržovat řezem, aby břečťan příliš nezasahoval do cesty.</t>
  </si>
  <si>
    <r>
      <t>Nově založený živý plot (ŽP4) z habru obecného (délka 40 bm, plocha 56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) podél oplocení na rozhraní areálu MTZ a Venkovní učebny. Nutno zapěstovávat řezem tak, aby se živý plot dobře rozvětvil, zhoustnul. Dále je nutné pletí, mulčování 1x/2 roky, hnojení.</t>
    </r>
  </si>
  <si>
    <t>plocha u posezení - trávník je nesouvislý; Na jaře (konec března až konec dubna) nebo na podzim (přelom srpna a září – až konec září); trávník nesmí být podmáčený! Před vertikutací trávník posekat.</t>
  </si>
  <si>
    <t>Ostrůvek s keřovou skupinou SK29. Na jaře (konec března až konec dubna) nebo na podzim (přelom srpna a září – až konec září); trávník nesmí být podmáčený! Před vertikutací trávník posekat.</t>
  </si>
  <si>
    <t>listí ze stromu, termín únor-březen</t>
  </si>
  <si>
    <r>
      <t>Záhon u vjezdu do areálu o ploše 3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, se soliterním stromem (Prunus serrulata ´Kanzan´). Záhon je třeba udržovat v bezplevelném stavu, zamulčovaný.</t>
    </r>
  </si>
  <si>
    <t xml:space="preserve">Trávník parkový </t>
  </si>
  <si>
    <t>jabloně řežeme vždy v předjaří (únor-březen); zálivka vč.dopravy vody, běžně 6x ročně, výchovný řez, kontrola, doplnění nebo odstranění kotvících a ochranných prvků, hnojení, kypření výsadbové mísy, vyžínání porostu, odplevelení, ochrana proti chorobám, doplnění mulče</t>
  </si>
  <si>
    <t>cca 30% plochy (Spiraea japonica) - kvete na jednoletých výhonech v létě, zpětný řez na jaře</t>
  </si>
  <si>
    <t>cca 60% plochy (Spiraea cinerea, Forsythia sp.) - kvetou na dvouletých výhonech na jaře, seříznout dle potřeby po odkvětu</t>
  </si>
  <si>
    <r>
      <t>20 g/m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, na jaře</t>
    </r>
  </si>
  <si>
    <r>
      <t>Jedná se o skupinu keřů (SK32) podél zdi po pravé straně u vstupu směrem od kláštera o výměře 35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. Zeď je hustě porostlá břečťanem, který porůstá i prostor mezi cestou a zdí, včetně zde rostoucích keřů (Ribes alpinum, Pyracantha coccinea). Všechny keře, i břečťan, je nutné především udržovat řezem v takovém stavu, aby nepřekážely pohybu návštěvníků jdoucích po cestě. Udržovat také břečťan řezem obzvláště "za rohem" zdi, u laviček.
</t>
    </r>
  </si>
  <si>
    <t>naceněno 30% plochy (keře), termín řezu brzké jaro (III-IV)</t>
  </si>
  <si>
    <t>množení bohyšky (Hosta) - dělením trsů - na podzim nebo brzy zjara (IV)</t>
  </si>
  <si>
    <t xml:space="preserve">Parthenocissus quinquefolia podél dřevěného plotu - 4 ks přímo v zahradě podél plotu na rozhraní parcel 75/3 a 72/2 (SK35), 4 ks podél plotu kolem ZŠ (SK36, nerostou přímo v zahradě HIS, ale zasahují tam). Řez jako podpora růstu a rozvětvování, řez omezovací v případě růstu do cestičky.
</t>
  </si>
  <si>
    <t>Podpoření rozvětvování, omezení v případě růstu do cestičky. Na jaře seříznout dle potřeby.</t>
  </si>
  <si>
    <t>hnojit pouze 4 ks přísavníku přímo v zahradě/v řešeném území; 10 g/rostlina; na jaře</t>
  </si>
  <si>
    <t>jarní vyhrabání listí, plocha 30% (u jasanu, u jabloní); termín únor-březen</t>
  </si>
  <si>
    <t>termín: březen-duben (pol.května)</t>
  </si>
  <si>
    <t>CENA ZA ÚDRŽBU NA 4 ROKY CELKEM</t>
  </si>
  <si>
    <t>cena</t>
  </si>
  <si>
    <t>základní plocha</t>
  </si>
  <si>
    <t>Souhrn - plán údržby na 4 roky</t>
  </si>
  <si>
    <r>
      <t>Plocha trávníku na nejexponovanějších místech v blízkosti zámku a vodní plochy je celkem 7 997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 Plocha v centrálním záhonu a v celé ploše kolem betléma (3274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) je však z údržby vyjmuta (kosení zajíšťuje město) . Naceněno je tedy pouze 4 723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</si>
  <si>
    <r>
      <t>Nově založený živý plot (ŽP2) z habru obecného. Délka 19 bm, plocha 21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 Nutno zapěstovávat řezem tak, aby se živý plot dobře rozvětvil, zhoustnul. Dále je nutné pletí, mulčování 1x/2 roky, hnojení.</t>
    </r>
  </si>
  <si>
    <t>Přistavení kontejneru na trávu vč. naložení travní hmoty do kontejneru a její likvidace</t>
  </si>
  <si>
    <t>Celkem 89 ks ovocných dřevin v ploše klášterní zahrady.</t>
  </si>
  <si>
    <t>není předmětem zakázky</t>
  </si>
  <si>
    <r>
      <t>Záhony o celkové ploše 38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pokryvného skalníku v záhonech na parkovišti (SK30, SK31). Údržba spočívá v řezu keřů tak, aby nezasahovaly do parkoviště, pletí a v mulčování záhonu 1x/2 roky.</t>
    </r>
  </si>
  <si>
    <t>Vibrunum</t>
  </si>
  <si>
    <r>
      <t>Jedná se o okrasný záhon listnatých keřů (SK33, SK34) vedle pergoly o ploše 39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. Složení: Spiraea cinerea, Spiraea japonica, Forsythia sp., Parthenocissus quinquefolia podél dřevěného plotu. Údržba: Spiraea cinerea - v pozadí u plotu, kvete na dvouletých výhonech na jaře, seříznout dle potřeby po odkvětu; Spiraea japonica - kvete na jednoletých výhonech v létě, zpětný řez na jaře. Zlatici (Forsythia) řezat po odkvětu (cca květen).
</t>
    </r>
  </si>
  <si>
    <t>Zapojená skupina dřevin listnatých - habrový tunel</t>
  </si>
  <si>
    <t>2x ročně v předjaří, mezi první a druhou mízou</t>
  </si>
  <si>
    <t>Řez a tvarování živých plotů a stěn, od 1,5 do 3 m (délka tunelu 15,3 m, délka oblouku 4,3 m, oboustranně)</t>
  </si>
  <si>
    <t>Vyvázaní ke konstrukci, 1,2 m/kus popruhu</t>
  </si>
  <si>
    <t>vrstva 7 cm</t>
  </si>
  <si>
    <r>
      <t>Porost habru (Carpinus betulus) vysázeného ke konstrukci tunelu (SK26). 2x ročně tvarovací řez, zalévat, odplevelovat, mulčovat. Plocha záhonů podél tunelu je 24,5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</si>
  <si>
    <r>
      <t>Plocha trávníku Krkonošským centrem environmentálního vzdělávání, celkem 1103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, sekat stejně často jako trávník ve venkovní učebně a klášterní zahradě - tj. 8x/rok.
</t>
    </r>
  </si>
  <si>
    <t>Řežeme uprostřed léta nebo v předjaří dle potřeby, tis je možné (na rozdíl od jiných jehličnanů) zmlazovat.</t>
  </si>
  <si>
    <t>Řežeme uprostřed léta nebo v předjaří dle potřeby (aby nezasahoval do cesty), tis je možné (na rozdíl od jiných jehličnanů) zmlazovat.</t>
  </si>
  <si>
    <t>Symphoricarpos řezat brzy na jaře nebo v létě; smrk neřezat, Taxus dle potřeby (snese i zmlazení)-v předjaří (III-IV) či na konci června</t>
  </si>
  <si>
    <t>Rhododendron 80%, Taxus baccata 20%</t>
  </si>
  <si>
    <t>Rhododendron 70%, Taxus baccata 30%</t>
  </si>
  <si>
    <t>Zapojená skupina dřevin listnatých</t>
  </si>
  <si>
    <t>Vypletí dřevin ve skupinách</t>
  </si>
  <si>
    <t>Hnojení umělým hnojivem s rozdělením k jednotlivým rostlinám v rovině a svahu do 1:5</t>
  </si>
  <si>
    <t>hnojení tabletovým hnojivem Silvamix (4x 10g)</t>
  </si>
  <si>
    <t>Dodávka tabletového hnojiva</t>
  </si>
  <si>
    <r>
      <t>20 l vody / m</t>
    </r>
    <r>
      <rPr>
        <vertAlign val="superscript"/>
        <sz val="11"/>
        <color theme="1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</si>
</sst>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#,##0\ &quot;Kč&quot;"/>
    <numFmt numFmtId="166" formatCode="0.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name val="Arial"/>
      <family val="2"/>
      <charset val="238"/>
    </font>
    <font>
      <vertAlign val="superscript"/>
      <sz val="11"/>
      <name val="Arial"/>
      <family val="2"/>
      <charset val="238"/>
    </font>
    <font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3" fillId="0" borderId="0"/>
  </cellStyleXfs>
  <cellXfs count="197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vertical="center"/>
    </xf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/>
    <xf numFmtId="49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9" fillId="0" borderId="1" xfId="2" applyFont="1" applyFill="1" applyBorder="1" applyAlignment="1">
      <alignment horizontal="center" vertical="center"/>
    </xf>
    <xf numFmtId="49" fontId="9" fillId="0" borderId="1" xfId="2" applyNumberFormat="1" applyFont="1" applyFill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49" fontId="9" fillId="0" borderId="1" xfId="2" applyNumberFormat="1" applyFont="1" applyBorder="1" applyAlignment="1">
      <alignment horizontal="center" vertical="center"/>
    </xf>
    <xf numFmtId="49" fontId="11" fillId="2" borderId="1" xfId="2" applyNumberFormat="1" applyFont="1" applyFill="1" applyBorder="1" applyAlignment="1">
      <alignment horizontal="center" vertical="center" wrapText="1"/>
    </xf>
    <xf numFmtId="49" fontId="11" fillId="2" borderId="1" xfId="2" applyNumberFormat="1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166" fontId="3" fillId="0" borderId="5" xfId="0" applyNumberFormat="1" applyFont="1" applyBorder="1" applyAlignment="1">
      <alignment horizontal="center" vertical="center"/>
    </xf>
    <xf numFmtId="166" fontId="3" fillId="0" borderId="5" xfId="0" applyNumberFormat="1" applyFont="1" applyFill="1" applyBorder="1" applyAlignment="1">
      <alignment horizontal="center" vertical="center"/>
    </xf>
    <xf numFmtId="166" fontId="1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" fontId="1" fillId="0" borderId="0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164" fontId="3" fillId="0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5" fillId="0" borderId="7" xfId="0" applyFont="1" applyBorder="1" applyAlignment="1"/>
    <xf numFmtId="0" fontId="15" fillId="0" borderId="10" xfId="0" applyFont="1" applyBorder="1" applyAlignment="1"/>
    <xf numFmtId="164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 applyProtection="1">
      <alignment horizontal="center" vertical="center"/>
      <protection locked="0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/>
    </xf>
    <xf numFmtId="0" fontId="1" fillId="2" borderId="5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right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 applyProtection="1">
      <alignment horizontal="center" vertical="center"/>
    </xf>
    <xf numFmtId="164" fontId="1" fillId="2" borderId="7" xfId="0" applyNumberFormat="1" applyFont="1" applyFill="1" applyBorder="1" applyAlignment="1" applyProtection="1">
      <alignment horizontal="center" vertical="center"/>
    </xf>
    <xf numFmtId="164" fontId="1" fillId="2" borderId="6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164" fontId="3" fillId="0" borderId="5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164" fontId="1" fillId="0" borderId="8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1" fillId="0" borderId="9" xfId="0" applyNumberFormat="1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/>
    </xf>
    <xf numFmtId="164" fontId="3" fillId="0" borderId="11" xfId="0" applyNumberFormat="1" applyFont="1" applyFill="1" applyBorder="1" applyAlignment="1">
      <alignment horizontal="center" vertical="center"/>
    </xf>
    <xf numFmtId="164" fontId="3" fillId="0" borderId="9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left" vertical="center"/>
    </xf>
    <xf numFmtId="0" fontId="15" fillId="0" borderId="7" xfId="0" applyFont="1" applyBorder="1" applyAlignment="1">
      <alignment horizontal="left"/>
    </xf>
    <xf numFmtId="0" fontId="15" fillId="0" borderId="10" xfId="0" applyFont="1" applyBorder="1" applyAlignment="1">
      <alignment horizontal="left"/>
    </xf>
    <xf numFmtId="49" fontId="11" fillId="2" borderId="1" xfId="2" applyNumberFormat="1" applyFont="1" applyFill="1" applyBorder="1" applyAlignment="1">
      <alignment horizontal="center" vertical="center" wrapText="1"/>
    </xf>
    <xf numFmtId="49" fontId="11" fillId="2" borderId="2" xfId="2" applyNumberFormat="1" applyFont="1" applyFill="1" applyBorder="1" applyAlignment="1">
      <alignment horizontal="center" vertical="center" wrapText="1"/>
    </xf>
    <xf numFmtId="49" fontId="11" fillId="2" borderId="3" xfId="2" applyNumberFormat="1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6"/>
  <sheetViews>
    <sheetView zoomScale="80" zoomScaleNormal="80" zoomScaleSheetLayoutView="90" workbookViewId="0">
      <selection activeCell="C7" sqref="C7"/>
    </sheetView>
  </sheetViews>
  <sheetFormatPr defaultRowHeight="14.25" x14ac:dyDescent="0.2"/>
  <cols>
    <col min="1" max="1" width="9.140625" style="1"/>
    <col min="2" max="2" width="9.140625" style="9"/>
    <col min="3" max="3" width="51.28515625" style="1" customWidth="1"/>
    <col min="4" max="4" width="38.5703125" style="9" customWidth="1"/>
    <col min="5" max="5" width="11.28515625" style="9" customWidth="1"/>
    <col min="6" max="6" width="13.7109375" style="9" customWidth="1"/>
    <col min="7" max="7" width="11" style="9" customWidth="1"/>
    <col min="8" max="8" width="17" style="9" customWidth="1"/>
    <col min="9" max="9" width="33.42578125" style="9" customWidth="1"/>
    <col min="10" max="12" width="9.140625" style="1"/>
    <col min="13" max="13" width="21" style="1" customWidth="1"/>
    <col min="14" max="14" width="26.7109375" style="1" customWidth="1"/>
    <col min="15" max="16384" width="9.140625" style="1"/>
  </cols>
  <sheetData>
    <row r="2" spans="2:9" ht="27" customHeight="1" x14ac:dyDescent="0.25">
      <c r="B2" s="16" t="s">
        <v>569</v>
      </c>
      <c r="C2" s="10"/>
    </row>
    <row r="3" spans="2:9" ht="17.25" customHeight="1" x14ac:dyDescent="0.25">
      <c r="C3" s="10"/>
    </row>
    <row r="4" spans="2:9" s="3" customFormat="1" ht="17.25" customHeight="1" x14ac:dyDescent="0.25">
      <c r="B4" s="132" t="s">
        <v>568</v>
      </c>
      <c r="C4" s="133"/>
      <c r="D4" s="14" t="s">
        <v>567</v>
      </c>
      <c r="E4" s="11"/>
      <c r="F4" s="11"/>
      <c r="G4" s="11"/>
      <c r="H4" s="11"/>
      <c r="I4" s="11"/>
    </row>
    <row r="5" spans="2:9" s="109" customFormat="1" x14ac:dyDescent="0.2">
      <c r="B5" s="35">
        <v>1</v>
      </c>
      <c r="C5" s="53" t="s">
        <v>13</v>
      </c>
      <c r="D5" s="110">
        <f>PÚ_1!G28</f>
        <v>0</v>
      </c>
      <c r="E5" s="111"/>
      <c r="F5" s="111"/>
      <c r="G5" s="111"/>
      <c r="H5" s="111"/>
      <c r="I5" s="111"/>
    </row>
    <row r="6" spans="2:9" s="109" customFormat="1" x14ac:dyDescent="0.2">
      <c r="B6" s="35">
        <v>2</v>
      </c>
      <c r="C6" s="53" t="s">
        <v>16</v>
      </c>
      <c r="D6" s="110">
        <f>PÚ_2!G25</f>
        <v>0</v>
      </c>
    </row>
    <row r="7" spans="2:9" s="97" customFormat="1" x14ac:dyDescent="0.2">
      <c r="B7" s="35">
        <v>3</v>
      </c>
      <c r="C7" s="79" t="s">
        <v>17</v>
      </c>
      <c r="D7" s="78">
        <f>PÚ_3!G29</f>
        <v>0</v>
      </c>
      <c r="E7" s="108"/>
      <c r="F7" s="127"/>
      <c r="G7" s="127"/>
      <c r="H7" s="127"/>
      <c r="I7" s="127"/>
    </row>
    <row r="8" spans="2:9" s="97" customFormat="1" x14ac:dyDescent="0.2">
      <c r="B8" s="35">
        <v>4</v>
      </c>
      <c r="C8" s="79" t="s">
        <v>15</v>
      </c>
      <c r="D8" s="78">
        <f>PÚ_4!G19</f>
        <v>0</v>
      </c>
      <c r="E8" s="104"/>
      <c r="F8" s="128"/>
      <c r="G8" s="128"/>
      <c r="H8" s="128"/>
      <c r="I8" s="128"/>
    </row>
    <row r="9" spans="2:9" s="97" customFormat="1" x14ac:dyDescent="0.2">
      <c r="B9" s="35">
        <v>5</v>
      </c>
      <c r="C9" s="79" t="s">
        <v>43</v>
      </c>
      <c r="D9" s="78">
        <f>PÚ_5!G20</f>
        <v>0</v>
      </c>
      <c r="E9" s="104"/>
      <c r="F9" s="128"/>
      <c r="G9" s="128"/>
      <c r="H9" s="128"/>
      <c r="I9" s="128"/>
    </row>
    <row r="10" spans="2:9" s="105" customFormat="1" ht="21.75" customHeight="1" x14ac:dyDescent="0.25">
      <c r="B10" s="134" t="s">
        <v>566</v>
      </c>
      <c r="C10" s="135"/>
      <c r="D10" s="107">
        <f>SUM(D5:D9)</f>
        <v>0</v>
      </c>
      <c r="E10" s="106"/>
      <c r="F10" s="129"/>
      <c r="G10" s="129"/>
      <c r="H10" s="129"/>
      <c r="I10" s="129"/>
    </row>
    <row r="11" spans="2:9" s="97" customFormat="1" x14ac:dyDescent="0.25">
      <c r="B11" s="103"/>
      <c r="C11" s="98"/>
      <c r="D11" s="103"/>
      <c r="E11" s="104"/>
      <c r="F11" s="128"/>
      <c r="G11" s="128"/>
      <c r="H11" s="128"/>
      <c r="I11" s="128"/>
    </row>
    <row r="12" spans="2:9" s="97" customFormat="1" x14ac:dyDescent="0.25">
      <c r="B12" s="103"/>
      <c r="C12" s="98"/>
      <c r="D12" s="103"/>
      <c r="E12" s="104"/>
      <c r="F12" s="128"/>
      <c r="G12" s="128"/>
      <c r="H12" s="128"/>
      <c r="I12" s="128"/>
    </row>
    <row r="13" spans="2:9" s="97" customFormat="1" x14ac:dyDescent="0.25">
      <c r="B13" s="103"/>
      <c r="C13" s="98"/>
      <c r="D13" s="103"/>
      <c r="E13" s="104"/>
      <c r="F13" s="128"/>
      <c r="G13" s="128"/>
      <c r="H13" s="128"/>
      <c r="I13" s="128"/>
    </row>
    <row r="14" spans="2:9" s="97" customFormat="1" x14ac:dyDescent="0.25">
      <c r="B14" s="103"/>
      <c r="C14" s="98"/>
      <c r="D14" s="103"/>
      <c r="E14" s="103"/>
      <c r="F14" s="126"/>
      <c r="G14" s="126"/>
      <c r="H14" s="126"/>
      <c r="I14" s="126"/>
    </row>
    <row r="15" spans="2:9" s="97" customFormat="1" x14ac:dyDescent="0.25">
      <c r="B15" s="103"/>
      <c r="C15" s="98"/>
      <c r="D15" s="103"/>
      <c r="E15" s="103"/>
      <c r="F15" s="126"/>
      <c r="G15" s="126"/>
      <c r="H15" s="126"/>
      <c r="I15" s="126"/>
    </row>
    <row r="16" spans="2:9" s="97" customFormat="1" x14ac:dyDescent="0.25">
      <c r="B16" s="103"/>
      <c r="C16" s="98"/>
      <c r="D16" s="103"/>
      <c r="E16" s="103"/>
      <c r="F16" s="126"/>
      <c r="G16" s="126"/>
      <c r="H16" s="126"/>
      <c r="I16" s="126"/>
    </row>
    <row r="17" spans="2:9" s="97" customFormat="1" x14ac:dyDescent="0.25">
      <c r="B17" s="103"/>
      <c r="C17" s="98"/>
      <c r="D17" s="103"/>
      <c r="E17" s="103"/>
      <c r="F17" s="126"/>
      <c r="G17" s="126"/>
      <c r="H17" s="126"/>
      <c r="I17" s="126"/>
    </row>
    <row r="18" spans="2:9" s="97" customFormat="1" x14ac:dyDescent="0.25">
      <c r="B18" s="103"/>
      <c r="C18" s="98"/>
      <c r="D18" s="103"/>
      <c r="E18" s="103"/>
      <c r="F18" s="126"/>
      <c r="G18" s="126"/>
      <c r="H18" s="126"/>
      <c r="I18" s="126"/>
    </row>
    <row r="19" spans="2:9" s="97" customFormat="1" x14ac:dyDescent="0.25">
      <c r="B19" s="103"/>
      <c r="C19" s="98"/>
      <c r="D19" s="103"/>
      <c r="E19" s="103"/>
      <c r="F19" s="126"/>
      <c r="G19" s="126"/>
      <c r="H19" s="126"/>
      <c r="I19" s="126"/>
    </row>
    <row r="20" spans="2:9" s="97" customFormat="1" x14ac:dyDescent="0.25">
      <c r="B20" s="103"/>
      <c r="C20" s="98"/>
      <c r="D20" s="103"/>
      <c r="E20" s="103"/>
      <c r="F20" s="126"/>
      <c r="G20" s="126"/>
      <c r="H20" s="126"/>
      <c r="I20" s="126"/>
    </row>
    <row r="21" spans="2:9" s="97" customFormat="1" x14ac:dyDescent="0.25">
      <c r="B21" s="103"/>
      <c r="C21" s="98"/>
      <c r="D21" s="103"/>
      <c r="E21" s="103"/>
      <c r="F21" s="126"/>
      <c r="G21" s="126"/>
      <c r="H21" s="126"/>
      <c r="I21" s="126"/>
    </row>
    <row r="22" spans="2:9" s="97" customFormat="1" x14ac:dyDescent="0.25">
      <c r="B22" s="103"/>
      <c r="C22" s="98"/>
      <c r="D22" s="103"/>
      <c r="E22" s="103"/>
      <c r="F22" s="126"/>
      <c r="G22" s="126"/>
      <c r="H22" s="126"/>
      <c r="I22" s="126"/>
    </row>
    <row r="23" spans="2:9" s="97" customFormat="1" x14ac:dyDescent="0.25">
      <c r="B23" s="103"/>
      <c r="C23" s="98"/>
      <c r="D23" s="103"/>
      <c r="E23" s="103"/>
      <c r="F23" s="126"/>
      <c r="G23" s="126"/>
      <c r="H23" s="126"/>
      <c r="I23" s="126"/>
    </row>
    <row r="24" spans="2:9" s="97" customFormat="1" x14ac:dyDescent="0.25">
      <c r="B24" s="103"/>
      <c r="C24" s="98"/>
      <c r="D24" s="103"/>
      <c r="E24" s="103"/>
      <c r="F24" s="126"/>
      <c r="G24" s="126"/>
      <c r="H24" s="126"/>
      <c r="I24" s="126"/>
    </row>
    <row r="25" spans="2:9" s="102" customFormat="1" ht="21.95" customHeight="1" x14ac:dyDescent="0.25">
      <c r="B25" s="130"/>
      <c r="C25" s="130"/>
      <c r="D25" s="130"/>
      <c r="E25" s="130"/>
      <c r="F25" s="131"/>
      <c r="G25" s="131"/>
      <c r="H25" s="131"/>
      <c r="I25" s="131"/>
    </row>
    <row r="26" spans="2:9" s="102" customFormat="1" ht="21.95" customHeight="1" x14ac:dyDescent="0.25">
      <c r="B26" s="130"/>
      <c r="C26" s="130"/>
      <c r="D26" s="130"/>
      <c r="E26" s="130"/>
      <c r="F26" s="131"/>
      <c r="G26" s="131"/>
      <c r="H26" s="131"/>
      <c r="I26" s="131"/>
    </row>
  </sheetData>
  <sheetProtection algorithmName="SHA-512" hashValue="LKmZY9P8RgXELk93LCgNwf2WHMvMrObzeP8qY/isXfZHINp5cXPgAYWgxGuBcnvsNJS4oM6vhhSSKQ7xBPBJhA==" saltValue="ZynNkeaUzmZH4aFiemXJsg==" spinCount="100000" sheet="1" objects="1" scenarios="1"/>
  <mergeCells count="24">
    <mergeCell ref="B4:C4"/>
    <mergeCell ref="F19:I19"/>
    <mergeCell ref="F20:I20"/>
    <mergeCell ref="F15:I15"/>
    <mergeCell ref="F16:I16"/>
    <mergeCell ref="F17:I17"/>
    <mergeCell ref="F12:I12"/>
    <mergeCell ref="B10:C10"/>
    <mergeCell ref="F24:I24"/>
    <mergeCell ref="B25:E25"/>
    <mergeCell ref="F25:I25"/>
    <mergeCell ref="B26:E26"/>
    <mergeCell ref="F26:I26"/>
    <mergeCell ref="F21:I21"/>
    <mergeCell ref="F22:I22"/>
    <mergeCell ref="F23:I23"/>
    <mergeCell ref="F18:I18"/>
    <mergeCell ref="F7:I7"/>
    <mergeCell ref="F8:I8"/>
    <mergeCell ref="F13:I13"/>
    <mergeCell ref="F14:I14"/>
    <mergeCell ref="F9:I9"/>
    <mergeCell ref="F10:I10"/>
    <mergeCell ref="F11:I1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5" orientation="portrait" r:id="rId1"/>
  <headerFooter>
    <oddHeader>&amp;CPLÁN ÚDRŽBY NA POZEMCÍCH SPRÁVY KRNAP VE VRCHLABÍ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91"/>
  <sheetViews>
    <sheetView topLeftCell="A75" zoomScale="80" zoomScaleNormal="80" zoomScaleSheetLayoutView="90" workbookViewId="0">
      <selection activeCell="Q10" sqref="Q10"/>
    </sheetView>
  </sheetViews>
  <sheetFormatPr defaultRowHeight="14.25" x14ac:dyDescent="0.2"/>
  <cols>
    <col min="1" max="1" width="9.140625" style="1"/>
    <col min="2" max="2" width="9.140625" style="9"/>
    <col min="3" max="3" width="36.5703125" style="1" customWidth="1"/>
    <col min="4" max="4" width="13" style="9" customWidth="1"/>
    <col min="5" max="5" width="6.5703125" style="9" customWidth="1"/>
    <col min="6" max="6" width="11.28515625" style="9" customWidth="1"/>
    <col min="7" max="7" width="13.7109375" style="9" customWidth="1"/>
    <col min="8" max="8" width="11" style="9" customWidth="1"/>
    <col min="9" max="9" width="17" style="9" customWidth="1"/>
    <col min="10" max="10" width="33.42578125" style="9" customWidth="1"/>
    <col min="11" max="13" width="9.140625" style="1"/>
    <col min="14" max="14" width="21" style="1" customWidth="1"/>
    <col min="15" max="15" width="26.7109375" style="1" customWidth="1"/>
    <col min="16" max="16384" width="9.140625" style="1"/>
  </cols>
  <sheetData>
    <row r="2" spans="2:10" ht="27" customHeight="1" x14ac:dyDescent="0.25">
      <c r="B2" s="16" t="s">
        <v>52</v>
      </c>
      <c r="C2" s="10"/>
    </row>
    <row r="3" spans="2:10" ht="17.25" customHeight="1" x14ac:dyDescent="0.25">
      <c r="C3" s="10"/>
    </row>
    <row r="4" spans="2:10" ht="18" x14ac:dyDescent="0.25">
      <c r="B4" s="152" t="s">
        <v>54</v>
      </c>
      <c r="C4" s="152"/>
      <c r="D4" s="153">
        <v>1</v>
      </c>
      <c r="E4" s="153"/>
      <c r="F4" s="153"/>
      <c r="G4" s="153"/>
      <c r="H4" s="153"/>
      <c r="I4" s="153"/>
      <c r="J4" s="153"/>
    </row>
    <row r="5" spans="2:10" ht="34.5" customHeight="1" x14ac:dyDescent="0.2">
      <c r="B5" s="154" t="s">
        <v>276</v>
      </c>
      <c r="C5" s="155"/>
      <c r="D5" s="155"/>
      <c r="E5" s="155"/>
      <c r="F5" s="155"/>
      <c r="G5" s="155"/>
      <c r="H5" s="155"/>
      <c r="I5" s="155"/>
      <c r="J5" s="156"/>
    </row>
    <row r="7" spans="2:10" ht="15" x14ac:dyDescent="0.25">
      <c r="B7" s="15" t="s">
        <v>152</v>
      </c>
      <c r="C7" s="3"/>
      <c r="D7" s="1"/>
      <c r="E7" s="1"/>
      <c r="F7" s="1"/>
      <c r="G7" s="1"/>
      <c r="H7" s="1"/>
      <c r="I7" s="1"/>
      <c r="J7" s="1"/>
    </row>
    <row r="8" spans="2:10" s="4" customFormat="1" ht="19.5" customHeight="1" x14ac:dyDescent="0.25">
      <c r="B8" s="8" t="s">
        <v>53</v>
      </c>
      <c r="C8" s="157" t="s">
        <v>14</v>
      </c>
      <c r="D8" s="157"/>
      <c r="E8" s="8" t="s">
        <v>48</v>
      </c>
      <c r="F8" s="47" t="s">
        <v>49</v>
      </c>
      <c r="G8" s="158" t="s">
        <v>51</v>
      </c>
      <c r="H8" s="158"/>
      <c r="I8" s="158"/>
      <c r="J8" s="158"/>
    </row>
    <row r="9" spans="2:10" s="4" customFormat="1" x14ac:dyDescent="0.25">
      <c r="B9" s="45">
        <v>1</v>
      </c>
      <c r="C9" s="151" t="s">
        <v>47</v>
      </c>
      <c r="D9" s="151"/>
      <c r="E9" s="45" t="s">
        <v>39</v>
      </c>
      <c r="F9" s="92">
        <v>4</v>
      </c>
      <c r="G9" s="137">
        <f>I36</f>
        <v>0</v>
      </c>
      <c r="H9" s="137"/>
      <c r="I9" s="137"/>
      <c r="J9" s="137"/>
    </row>
    <row r="10" spans="2:10" s="4" customFormat="1" x14ac:dyDescent="0.25">
      <c r="B10" s="45">
        <v>2</v>
      </c>
      <c r="C10" s="151" t="s">
        <v>256</v>
      </c>
      <c r="D10" s="151"/>
      <c r="E10" s="45" t="s">
        <v>39</v>
      </c>
      <c r="F10" s="52">
        <v>3</v>
      </c>
      <c r="G10" s="137">
        <f>I44</f>
        <v>0</v>
      </c>
      <c r="H10" s="137"/>
      <c r="I10" s="137"/>
      <c r="J10" s="137"/>
    </row>
    <row r="11" spans="2:10" s="4" customFormat="1" ht="16.5" x14ac:dyDescent="0.25">
      <c r="B11" s="70">
        <v>3</v>
      </c>
      <c r="C11" s="151" t="s">
        <v>4</v>
      </c>
      <c r="D11" s="151"/>
      <c r="E11" s="70" t="s">
        <v>50</v>
      </c>
      <c r="F11" s="71">
        <v>85</v>
      </c>
      <c r="G11" s="137">
        <f>I52</f>
        <v>0</v>
      </c>
      <c r="H11" s="137"/>
      <c r="I11" s="137"/>
      <c r="J11" s="137"/>
    </row>
    <row r="12" spans="2:10" s="4" customFormat="1" ht="16.5" x14ac:dyDescent="0.25">
      <c r="B12" s="70">
        <v>4</v>
      </c>
      <c r="C12" s="151" t="s">
        <v>6</v>
      </c>
      <c r="D12" s="151"/>
      <c r="E12" s="45" t="s">
        <v>50</v>
      </c>
      <c r="F12" s="52">
        <v>146</v>
      </c>
      <c r="G12" s="137">
        <f>I60</f>
        <v>0</v>
      </c>
      <c r="H12" s="137"/>
      <c r="I12" s="137"/>
      <c r="J12" s="137"/>
    </row>
    <row r="13" spans="2:10" s="4" customFormat="1" ht="16.5" x14ac:dyDescent="0.25">
      <c r="B13" s="70">
        <v>5</v>
      </c>
      <c r="C13" s="151" t="s">
        <v>2</v>
      </c>
      <c r="D13" s="151"/>
      <c r="E13" s="45" t="s">
        <v>50</v>
      </c>
      <c r="F13" s="52">
        <v>530</v>
      </c>
      <c r="G13" s="137">
        <f>I68</f>
        <v>0</v>
      </c>
      <c r="H13" s="137"/>
      <c r="I13" s="137"/>
      <c r="J13" s="137"/>
    </row>
    <row r="14" spans="2:10" s="4" customFormat="1" ht="16.5" x14ac:dyDescent="0.25">
      <c r="B14" s="70">
        <v>6</v>
      </c>
      <c r="C14" s="151" t="s">
        <v>3</v>
      </c>
      <c r="D14" s="151"/>
      <c r="E14" s="45" t="s">
        <v>32</v>
      </c>
      <c r="F14" s="52">
        <v>2856</v>
      </c>
      <c r="G14" s="137">
        <f>I76</f>
        <v>0</v>
      </c>
      <c r="H14" s="137"/>
      <c r="I14" s="137"/>
      <c r="J14" s="137"/>
    </row>
    <row r="15" spans="2:10" s="4" customFormat="1" ht="16.5" x14ac:dyDescent="0.25">
      <c r="B15" s="70">
        <v>7</v>
      </c>
      <c r="C15" s="151" t="s">
        <v>295</v>
      </c>
      <c r="D15" s="151"/>
      <c r="E15" s="45" t="s">
        <v>50</v>
      </c>
      <c r="F15" s="52">
        <v>3316</v>
      </c>
      <c r="G15" s="137">
        <f>I86</f>
        <v>0</v>
      </c>
      <c r="H15" s="137"/>
      <c r="I15" s="137"/>
      <c r="J15" s="137"/>
    </row>
    <row r="16" spans="2:10" s="4" customFormat="1" ht="16.5" x14ac:dyDescent="0.25">
      <c r="B16" s="70">
        <v>8</v>
      </c>
      <c r="C16" s="151" t="s">
        <v>9</v>
      </c>
      <c r="D16" s="151"/>
      <c r="E16" s="45" t="s">
        <v>32</v>
      </c>
      <c r="F16" s="45">
        <v>24</v>
      </c>
      <c r="G16" s="137">
        <f>I95</f>
        <v>0</v>
      </c>
      <c r="H16" s="137"/>
      <c r="I16" s="137"/>
      <c r="J16" s="137"/>
    </row>
    <row r="17" spans="2:10" s="4" customFormat="1" ht="16.5" x14ac:dyDescent="0.25">
      <c r="B17" s="70">
        <v>9</v>
      </c>
      <c r="C17" s="151" t="s">
        <v>10</v>
      </c>
      <c r="D17" s="151"/>
      <c r="E17" s="45" t="s">
        <v>50</v>
      </c>
      <c r="F17" s="45">
        <v>58</v>
      </c>
      <c r="G17" s="137">
        <f>I106</f>
        <v>0</v>
      </c>
      <c r="H17" s="137"/>
      <c r="I17" s="137"/>
      <c r="J17" s="137"/>
    </row>
    <row r="18" spans="2:10" s="4" customFormat="1" ht="16.5" x14ac:dyDescent="0.25">
      <c r="B18" s="70">
        <v>10</v>
      </c>
      <c r="C18" s="151" t="s">
        <v>35</v>
      </c>
      <c r="D18" s="151"/>
      <c r="E18" s="45" t="s">
        <v>241</v>
      </c>
      <c r="F18" s="45">
        <v>4723</v>
      </c>
      <c r="G18" s="137">
        <f>I118</f>
        <v>0</v>
      </c>
      <c r="H18" s="137"/>
      <c r="I18" s="137"/>
      <c r="J18" s="137"/>
    </row>
    <row r="19" spans="2:10" s="4" customFormat="1" ht="16.5" x14ac:dyDescent="0.25">
      <c r="B19" s="70">
        <v>11</v>
      </c>
      <c r="C19" s="151" t="s">
        <v>311</v>
      </c>
      <c r="D19" s="151"/>
      <c r="E19" s="70" t="s">
        <v>50</v>
      </c>
      <c r="F19" s="70">
        <v>1103</v>
      </c>
      <c r="G19" s="137">
        <f>I130</f>
        <v>0</v>
      </c>
      <c r="H19" s="137"/>
      <c r="I19" s="137"/>
      <c r="J19" s="137"/>
    </row>
    <row r="20" spans="2:10" s="4" customFormat="1" ht="16.5" x14ac:dyDescent="0.25">
      <c r="B20" s="70">
        <v>12</v>
      </c>
      <c r="C20" s="151" t="s">
        <v>34</v>
      </c>
      <c r="D20" s="151"/>
      <c r="E20" s="45" t="s">
        <v>50</v>
      </c>
      <c r="F20" s="45">
        <v>34879</v>
      </c>
      <c r="G20" s="137">
        <f>I138</f>
        <v>0</v>
      </c>
      <c r="H20" s="137"/>
      <c r="I20" s="137"/>
      <c r="J20" s="137"/>
    </row>
    <row r="21" spans="2:10" s="4" customFormat="1" x14ac:dyDescent="0.25">
      <c r="B21" s="70">
        <v>13</v>
      </c>
      <c r="C21" s="151" t="s">
        <v>248</v>
      </c>
      <c r="D21" s="151"/>
      <c r="E21" s="45" t="s">
        <v>39</v>
      </c>
      <c r="F21" s="45">
        <v>24</v>
      </c>
      <c r="G21" s="137">
        <f>I144</f>
        <v>0</v>
      </c>
      <c r="H21" s="137"/>
      <c r="I21" s="137"/>
      <c r="J21" s="137"/>
    </row>
    <row r="22" spans="2:10" s="4" customFormat="1" ht="16.5" x14ac:dyDescent="0.25">
      <c r="B22" s="70">
        <v>14</v>
      </c>
      <c r="C22" s="151" t="s">
        <v>281</v>
      </c>
      <c r="D22" s="151"/>
      <c r="E22" s="45" t="s">
        <v>50</v>
      </c>
      <c r="F22" s="45">
        <v>15894</v>
      </c>
      <c r="G22" s="137">
        <f>I153</f>
        <v>0</v>
      </c>
      <c r="H22" s="137"/>
      <c r="I22" s="137"/>
      <c r="J22" s="137"/>
    </row>
    <row r="23" spans="2:10" s="4" customFormat="1" ht="16.5" x14ac:dyDescent="0.25">
      <c r="B23" s="70">
        <v>15</v>
      </c>
      <c r="C23" s="151" t="s">
        <v>284</v>
      </c>
      <c r="D23" s="151"/>
      <c r="E23" s="45" t="s">
        <v>50</v>
      </c>
      <c r="F23" s="45">
        <v>163</v>
      </c>
      <c r="G23" s="137">
        <f>I160</f>
        <v>0</v>
      </c>
      <c r="H23" s="137"/>
      <c r="I23" s="137"/>
      <c r="J23" s="137"/>
    </row>
    <row r="24" spans="2:10" s="4" customFormat="1" ht="16.5" x14ac:dyDescent="0.25">
      <c r="B24" s="70">
        <v>16</v>
      </c>
      <c r="C24" s="151" t="s">
        <v>290</v>
      </c>
      <c r="D24" s="151"/>
      <c r="E24" s="45" t="s">
        <v>50</v>
      </c>
      <c r="F24" s="45">
        <v>278</v>
      </c>
      <c r="G24" s="137">
        <f>I179</f>
        <v>0</v>
      </c>
      <c r="H24" s="137"/>
      <c r="I24" s="137"/>
      <c r="J24" s="137"/>
    </row>
    <row r="25" spans="2:10" s="81" customFormat="1" ht="16.5" x14ac:dyDescent="0.25">
      <c r="B25" s="76">
        <v>17</v>
      </c>
      <c r="C25" s="144" t="s">
        <v>55</v>
      </c>
      <c r="D25" s="144"/>
      <c r="E25" s="76" t="s">
        <v>50</v>
      </c>
      <c r="F25" s="76">
        <v>6833</v>
      </c>
      <c r="G25" s="143" t="s">
        <v>574</v>
      </c>
      <c r="H25" s="143"/>
      <c r="I25" s="143"/>
      <c r="J25" s="143"/>
    </row>
    <row r="26" spans="2:10" s="4" customFormat="1" x14ac:dyDescent="0.25">
      <c r="B26" s="70">
        <v>18</v>
      </c>
      <c r="C26" s="151" t="s">
        <v>86</v>
      </c>
      <c r="D26" s="151"/>
      <c r="E26" s="45" t="s">
        <v>194</v>
      </c>
      <c r="F26" s="45">
        <v>1</v>
      </c>
      <c r="G26" s="137">
        <f>I191</f>
        <v>0</v>
      </c>
      <c r="H26" s="137"/>
      <c r="I26" s="137"/>
      <c r="J26" s="137"/>
    </row>
    <row r="27" spans="2:10" s="3" customFormat="1" ht="21.95" customHeight="1" x14ac:dyDescent="0.25">
      <c r="B27" s="145" t="s">
        <v>153</v>
      </c>
      <c r="C27" s="146"/>
      <c r="D27" s="146"/>
      <c r="E27" s="146"/>
      <c r="F27" s="147"/>
      <c r="G27" s="148">
        <f>SUM(G9:G26)</f>
        <v>0</v>
      </c>
      <c r="H27" s="149"/>
      <c r="I27" s="149"/>
      <c r="J27" s="150"/>
    </row>
    <row r="28" spans="2:10" s="3" customFormat="1" ht="21.95" customHeight="1" x14ac:dyDescent="0.25">
      <c r="B28" s="145" t="s">
        <v>154</v>
      </c>
      <c r="C28" s="146"/>
      <c r="D28" s="146"/>
      <c r="E28" s="146"/>
      <c r="F28" s="147"/>
      <c r="G28" s="148">
        <f>G27*4</f>
        <v>0</v>
      </c>
      <c r="H28" s="149"/>
      <c r="I28" s="149"/>
      <c r="J28" s="150"/>
    </row>
    <row r="29" spans="2:10" x14ac:dyDescent="0.2">
      <c r="D29" s="1"/>
      <c r="E29" s="1"/>
      <c r="F29" s="1"/>
      <c r="G29" s="1"/>
      <c r="H29" s="1"/>
      <c r="I29" s="1"/>
      <c r="J29" s="1"/>
    </row>
    <row r="30" spans="2:10" ht="27" customHeight="1" x14ac:dyDescent="0.25">
      <c r="C30" s="10" t="s">
        <v>28</v>
      </c>
    </row>
    <row r="32" spans="2:10" s="59" customFormat="1" ht="15" x14ac:dyDescent="0.25">
      <c r="B32" s="56">
        <v>1</v>
      </c>
      <c r="C32" s="57" t="s">
        <v>47</v>
      </c>
      <c r="D32" s="56"/>
      <c r="E32" s="56"/>
      <c r="F32" s="56"/>
      <c r="G32" s="56"/>
      <c r="H32" s="58"/>
      <c r="I32" s="58"/>
      <c r="J32" s="58"/>
    </row>
    <row r="33" spans="2:10" s="4" customFormat="1" ht="25.5" customHeight="1" x14ac:dyDescent="0.25">
      <c r="B33" s="7"/>
      <c r="C33" s="141" t="s">
        <v>450</v>
      </c>
      <c r="D33" s="141"/>
      <c r="E33" s="141"/>
      <c r="F33" s="141"/>
      <c r="G33" s="141"/>
      <c r="H33" s="141"/>
      <c r="I33" s="141"/>
      <c r="J33" s="141"/>
    </row>
    <row r="34" spans="2:10" ht="42.75" x14ac:dyDescent="0.2">
      <c r="B34" s="8" t="s">
        <v>0</v>
      </c>
      <c r="C34" s="12" t="s">
        <v>24</v>
      </c>
      <c r="D34" s="47" t="s">
        <v>30</v>
      </c>
      <c r="E34" s="47" t="s">
        <v>48</v>
      </c>
      <c r="F34" s="47" t="s">
        <v>29</v>
      </c>
      <c r="G34" s="47" t="s">
        <v>26</v>
      </c>
      <c r="H34" s="47" t="s">
        <v>25</v>
      </c>
      <c r="I34" s="47" t="s">
        <v>31</v>
      </c>
      <c r="J34" s="47" t="s">
        <v>27</v>
      </c>
    </row>
    <row r="35" spans="2:10" s="4" customFormat="1" ht="114" x14ac:dyDescent="0.25">
      <c r="B35" s="43" t="s">
        <v>118</v>
      </c>
      <c r="C35" s="17" t="s">
        <v>73</v>
      </c>
      <c r="D35" s="45" t="s">
        <v>56</v>
      </c>
      <c r="E35" s="45" t="s">
        <v>39</v>
      </c>
      <c r="F35" s="45">
        <v>4</v>
      </c>
      <c r="G35" s="123"/>
      <c r="H35" s="45">
        <v>1</v>
      </c>
      <c r="I35" s="50">
        <f>H35*G35*F35</f>
        <v>0</v>
      </c>
      <c r="J35" s="48" t="s">
        <v>78</v>
      </c>
    </row>
    <row r="36" spans="2:10" s="3" customFormat="1" ht="15" customHeight="1" x14ac:dyDescent="0.25">
      <c r="B36" s="138" t="s">
        <v>33</v>
      </c>
      <c r="C36" s="139"/>
      <c r="D36" s="139"/>
      <c r="E36" s="139"/>
      <c r="F36" s="139"/>
      <c r="G36" s="139"/>
      <c r="H36" s="140"/>
      <c r="I36" s="19">
        <f>SUM(I35)</f>
        <v>0</v>
      </c>
      <c r="J36" s="14"/>
    </row>
    <row r="38" spans="2:10" s="59" customFormat="1" ht="15" x14ac:dyDescent="0.25">
      <c r="B38" s="56">
        <v>2</v>
      </c>
      <c r="C38" s="57" t="s">
        <v>256</v>
      </c>
      <c r="D38" s="56"/>
      <c r="E38" s="56"/>
      <c r="F38" s="56"/>
      <c r="G38" s="56"/>
      <c r="H38" s="58"/>
      <c r="I38" s="58"/>
      <c r="J38" s="58"/>
    </row>
    <row r="39" spans="2:10" s="4" customFormat="1" ht="27" customHeight="1" x14ac:dyDescent="0.25">
      <c r="B39" s="7"/>
      <c r="C39" s="141" t="s">
        <v>451</v>
      </c>
      <c r="D39" s="141"/>
      <c r="E39" s="141"/>
      <c r="F39" s="141"/>
      <c r="G39" s="141"/>
      <c r="H39" s="141"/>
      <c r="I39" s="141"/>
      <c r="J39" s="141"/>
    </row>
    <row r="40" spans="2:10" ht="42.75" x14ac:dyDescent="0.2">
      <c r="B40" s="8" t="s">
        <v>0</v>
      </c>
      <c r="C40" s="12" t="s">
        <v>24</v>
      </c>
      <c r="D40" s="47" t="s">
        <v>30</v>
      </c>
      <c r="E40" s="47" t="s">
        <v>48</v>
      </c>
      <c r="F40" s="47" t="s">
        <v>29</v>
      </c>
      <c r="G40" s="47" t="s">
        <v>26</v>
      </c>
      <c r="H40" s="47" t="s">
        <v>25</v>
      </c>
      <c r="I40" s="47" t="s">
        <v>31</v>
      </c>
      <c r="J40" s="47" t="s">
        <v>27</v>
      </c>
    </row>
    <row r="41" spans="2:10" s="4" customFormat="1" ht="66" customHeight="1" x14ac:dyDescent="0.25">
      <c r="B41" s="43" t="s">
        <v>119</v>
      </c>
      <c r="C41" s="17" t="s">
        <v>452</v>
      </c>
      <c r="D41" s="45">
        <v>111212311</v>
      </c>
      <c r="E41" s="45" t="s">
        <v>50</v>
      </c>
      <c r="F41" s="45">
        <f>138*0.1</f>
        <v>13.8</v>
      </c>
      <c r="G41" s="123"/>
      <c r="H41" s="45">
        <v>0.5</v>
      </c>
      <c r="I41" s="50">
        <f>H41*G41*F41</f>
        <v>0</v>
      </c>
      <c r="J41" s="48" t="s">
        <v>293</v>
      </c>
    </row>
    <row r="42" spans="2:10" s="4" customFormat="1" ht="42.75" x14ac:dyDescent="0.25">
      <c r="B42" s="43" t="s">
        <v>165</v>
      </c>
      <c r="C42" s="17" t="s">
        <v>285</v>
      </c>
      <c r="D42" s="45">
        <v>111111311</v>
      </c>
      <c r="E42" s="45" t="s">
        <v>50</v>
      </c>
      <c r="F42" s="45">
        <f>138*0.3</f>
        <v>41.4</v>
      </c>
      <c r="G42" s="123"/>
      <c r="H42" s="45">
        <v>1</v>
      </c>
      <c r="I42" s="50">
        <f>H42*G42*F42</f>
        <v>0</v>
      </c>
      <c r="J42" s="48" t="s">
        <v>255</v>
      </c>
    </row>
    <row r="43" spans="2:10" s="4" customFormat="1" ht="99.75" x14ac:dyDescent="0.25">
      <c r="B43" s="43" t="s">
        <v>166</v>
      </c>
      <c r="C43" s="17" t="s">
        <v>467</v>
      </c>
      <c r="D43" s="45" t="s">
        <v>56</v>
      </c>
      <c r="E43" s="45" t="s">
        <v>39</v>
      </c>
      <c r="F43" s="45">
        <v>2</v>
      </c>
      <c r="G43" s="123"/>
      <c r="H43" s="45">
        <v>0.25</v>
      </c>
      <c r="I43" s="50">
        <f>H43*G43*F43</f>
        <v>0</v>
      </c>
      <c r="J43" s="77" t="s">
        <v>466</v>
      </c>
    </row>
    <row r="44" spans="2:10" s="3" customFormat="1" ht="15" customHeight="1" x14ac:dyDescent="0.25">
      <c r="B44" s="138" t="s">
        <v>33</v>
      </c>
      <c r="C44" s="139"/>
      <c r="D44" s="139"/>
      <c r="E44" s="139"/>
      <c r="F44" s="139"/>
      <c r="G44" s="139"/>
      <c r="H44" s="140"/>
      <c r="I44" s="19">
        <f>SUM(I41:I43)</f>
        <v>0</v>
      </c>
      <c r="J44" s="14"/>
    </row>
    <row r="46" spans="2:10" s="59" customFormat="1" ht="15" x14ac:dyDescent="0.25">
      <c r="B46" s="56">
        <v>3</v>
      </c>
      <c r="C46" s="57" t="s">
        <v>342</v>
      </c>
      <c r="D46" s="56"/>
      <c r="E46" s="56"/>
      <c r="F46" s="56"/>
      <c r="G46" s="56"/>
      <c r="H46" s="58"/>
      <c r="I46" s="58"/>
      <c r="J46" s="58"/>
    </row>
    <row r="47" spans="2:10" s="81" customFormat="1" ht="24.75" customHeight="1" x14ac:dyDescent="0.25">
      <c r="B47" s="93"/>
      <c r="C47" s="142" t="s">
        <v>453</v>
      </c>
      <c r="D47" s="142"/>
      <c r="E47" s="142"/>
      <c r="F47" s="142"/>
      <c r="G47" s="142"/>
      <c r="H47" s="142"/>
      <c r="I47" s="142"/>
      <c r="J47" s="142"/>
    </row>
    <row r="48" spans="2:10" ht="42.75" x14ac:dyDescent="0.2">
      <c r="B48" s="8" t="s">
        <v>0</v>
      </c>
      <c r="C48" s="12" t="s">
        <v>24</v>
      </c>
      <c r="D48" s="72" t="s">
        <v>30</v>
      </c>
      <c r="E48" s="72" t="s">
        <v>48</v>
      </c>
      <c r="F48" s="72" t="s">
        <v>29</v>
      </c>
      <c r="G48" s="72" t="s">
        <v>26</v>
      </c>
      <c r="H48" s="72" t="s">
        <v>25</v>
      </c>
      <c r="I48" s="72" t="s">
        <v>31</v>
      </c>
      <c r="J48" s="72" t="s">
        <v>27</v>
      </c>
    </row>
    <row r="49" spans="2:10" s="4" customFormat="1" ht="66" customHeight="1" x14ac:dyDescent="0.25">
      <c r="B49" s="43" t="s">
        <v>120</v>
      </c>
      <c r="C49" s="17" t="s">
        <v>294</v>
      </c>
      <c r="D49" s="70">
        <v>111212311</v>
      </c>
      <c r="E49" s="70" t="s">
        <v>50</v>
      </c>
      <c r="F49" s="70">
        <f>85*0.1</f>
        <v>8.5</v>
      </c>
      <c r="G49" s="123"/>
      <c r="H49" s="70">
        <v>0.5</v>
      </c>
      <c r="I49" s="73">
        <f>H49*G49*F49</f>
        <v>0</v>
      </c>
      <c r="J49" s="77" t="s">
        <v>293</v>
      </c>
    </row>
    <row r="50" spans="2:10" s="4" customFormat="1" ht="45" x14ac:dyDescent="0.25">
      <c r="B50" s="43" t="s">
        <v>121</v>
      </c>
      <c r="C50" s="17" t="s">
        <v>454</v>
      </c>
      <c r="D50" s="70">
        <v>111111311</v>
      </c>
      <c r="E50" s="70" t="s">
        <v>50</v>
      </c>
      <c r="F50" s="70">
        <f>85*0.3</f>
        <v>25.5</v>
      </c>
      <c r="G50" s="123"/>
      <c r="H50" s="70">
        <v>1</v>
      </c>
      <c r="I50" s="73">
        <f>H50*G50*F50</f>
        <v>0</v>
      </c>
      <c r="J50" s="77" t="s">
        <v>255</v>
      </c>
    </row>
    <row r="51" spans="2:10" s="4" customFormat="1" ht="57" x14ac:dyDescent="0.25">
      <c r="B51" s="43" t="s">
        <v>122</v>
      </c>
      <c r="C51" s="17" t="s">
        <v>467</v>
      </c>
      <c r="D51" s="70" t="s">
        <v>56</v>
      </c>
      <c r="E51" s="70" t="s">
        <v>39</v>
      </c>
      <c r="F51" s="70">
        <v>4</v>
      </c>
      <c r="G51" s="123"/>
      <c r="H51" s="70">
        <v>0.25</v>
      </c>
      <c r="I51" s="73">
        <f>H51*G51*F51</f>
        <v>0</v>
      </c>
      <c r="J51" s="77" t="s">
        <v>468</v>
      </c>
    </row>
    <row r="52" spans="2:10" s="3" customFormat="1" ht="15" customHeight="1" x14ac:dyDescent="0.25">
      <c r="B52" s="138" t="s">
        <v>33</v>
      </c>
      <c r="C52" s="139"/>
      <c r="D52" s="139"/>
      <c r="E52" s="139"/>
      <c r="F52" s="139"/>
      <c r="G52" s="139"/>
      <c r="H52" s="140"/>
      <c r="I52" s="19">
        <f>SUM(I49:I51)</f>
        <v>0</v>
      </c>
      <c r="J52" s="14"/>
    </row>
    <row r="54" spans="2:10" s="59" customFormat="1" ht="15" x14ac:dyDescent="0.25">
      <c r="B54" s="56">
        <v>4</v>
      </c>
      <c r="C54" s="57" t="s">
        <v>6</v>
      </c>
      <c r="D54" s="56"/>
      <c r="E54" s="56"/>
      <c r="F54" s="56"/>
      <c r="G54" s="56"/>
      <c r="H54" s="58"/>
      <c r="I54" s="58"/>
      <c r="J54" s="58"/>
    </row>
    <row r="55" spans="2:10" s="4" customFormat="1" ht="22.5" customHeight="1" x14ac:dyDescent="0.25">
      <c r="B55" s="7"/>
      <c r="C55" s="141" t="s">
        <v>456</v>
      </c>
      <c r="D55" s="141"/>
      <c r="E55" s="141"/>
      <c r="F55" s="141"/>
      <c r="G55" s="141"/>
      <c r="H55" s="141"/>
      <c r="I55" s="141"/>
      <c r="J55" s="141"/>
    </row>
    <row r="56" spans="2:10" ht="42.75" x14ac:dyDescent="0.2">
      <c r="B56" s="8" t="s">
        <v>0</v>
      </c>
      <c r="C56" s="12" t="s">
        <v>24</v>
      </c>
      <c r="D56" s="47" t="s">
        <v>30</v>
      </c>
      <c r="E56" s="47" t="s">
        <v>48</v>
      </c>
      <c r="F56" s="47" t="s">
        <v>29</v>
      </c>
      <c r="G56" s="47" t="s">
        <v>26</v>
      </c>
      <c r="H56" s="47" t="s">
        <v>25</v>
      </c>
      <c r="I56" s="47" t="s">
        <v>31</v>
      </c>
      <c r="J56" s="47" t="s">
        <v>27</v>
      </c>
    </row>
    <row r="57" spans="2:10" s="4" customFormat="1" ht="66" customHeight="1" x14ac:dyDescent="0.25">
      <c r="B57" s="43" t="s">
        <v>125</v>
      </c>
      <c r="C57" s="17" t="s">
        <v>294</v>
      </c>
      <c r="D57" s="45">
        <v>111212311</v>
      </c>
      <c r="E57" s="45" t="s">
        <v>50</v>
      </c>
      <c r="F57" s="45">
        <f>168*0.1</f>
        <v>16.8</v>
      </c>
      <c r="G57" s="123"/>
      <c r="H57" s="45">
        <v>0.5</v>
      </c>
      <c r="I57" s="50">
        <f>H57*G57*F57</f>
        <v>0</v>
      </c>
      <c r="J57" s="48" t="s">
        <v>293</v>
      </c>
    </row>
    <row r="58" spans="2:10" s="4" customFormat="1" ht="42.75" x14ac:dyDescent="0.25">
      <c r="B58" s="43" t="s">
        <v>126</v>
      </c>
      <c r="C58" s="17" t="s">
        <v>285</v>
      </c>
      <c r="D58" s="45">
        <v>111111311</v>
      </c>
      <c r="E58" s="45" t="s">
        <v>50</v>
      </c>
      <c r="F58" s="45">
        <f>168*0.3</f>
        <v>50.4</v>
      </c>
      <c r="G58" s="123"/>
      <c r="H58" s="45">
        <v>1</v>
      </c>
      <c r="I58" s="50">
        <f>H58*G58*F58</f>
        <v>0</v>
      </c>
      <c r="J58" s="48" t="s">
        <v>255</v>
      </c>
    </row>
    <row r="59" spans="2:10" s="4" customFormat="1" ht="57" x14ac:dyDescent="0.25">
      <c r="B59" s="43" t="s">
        <v>127</v>
      </c>
      <c r="C59" s="17" t="s">
        <v>467</v>
      </c>
      <c r="D59" s="70" t="s">
        <v>56</v>
      </c>
      <c r="E59" s="70" t="s">
        <v>39</v>
      </c>
      <c r="F59" s="70">
        <v>2</v>
      </c>
      <c r="G59" s="123"/>
      <c r="H59" s="70">
        <v>0.25</v>
      </c>
      <c r="I59" s="73">
        <f>H59*G59*F59</f>
        <v>0</v>
      </c>
      <c r="J59" s="77" t="s">
        <v>468</v>
      </c>
    </row>
    <row r="60" spans="2:10" s="3" customFormat="1" ht="15" customHeight="1" x14ac:dyDescent="0.25">
      <c r="B60" s="138" t="s">
        <v>33</v>
      </c>
      <c r="C60" s="139"/>
      <c r="D60" s="139"/>
      <c r="E60" s="139"/>
      <c r="F60" s="139"/>
      <c r="G60" s="139"/>
      <c r="H60" s="140"/>
      <c r="I60" s="19">
        <f>SUM(I57:I59)</f>
        <v>0</v>
      </c>
      <c r="J60" s="14"/>
    </row>
    <row r="62" spans="2:10" s="59" customFormat="1" ht="15" x14ac:dyDescent="0.25">
      <c r="B62" s="56">
        <v>5</v>
      </c>
      <c r="C62" s="57" t="s">
        <v>2</v>
      </c>
      <c r="D62" s="56"/>
      <c r="E62" s="56"/>
      <c r="F62" s="56"/>
      <c r="G62" s="56"/>
      <c r="H62" s="58"/>
      <c r="I62" s="58"/>
      <c r="J62" s="58"/>
    </row>
    <row r="63" spans="2:10" s="4" customFormat="1" ht="27" customHeight="1" x14ac:dyDescent="0.25">
      <c r="B63" s="7"/>
      <c r="C63" s="141" t="s">
        <v>457</v>
      </c>
      <c r="D63" s="141"/>
      <c r="E63" s="141"/>
      <c r="F63" s="141"/>
      <c r="G63" s="141"/>
      <c r="H63" s="141"/>
      <c r="I63" s="141"/>
      <c r="J63" s="141"/>
    </row>
    <row r="64" spans="2:10" ht="42.75" x14ac:dyDescent="0.2">
      <c r="B64" s="8" t="s">
        <v>0</v>
      </c>
      <c r="C64" s="12" t="s">
        <v>24</v>
      </c>
      <c r="D64" s="47" t="s">
        <v>30</v>
      </c>
      <c r="E64" s="47" t="s">
        <v>48</v>
      </c>
      <c r="F64" s="47" t="s">
        <v>29</v>
      </c>
      <c r="G64" s="47" t="s">
        <v>26</v>
      </c>
      <c r="H64" s="47" t="s">
        <v>25</v>
      </c>
      <c r="I64" s="47" t="s">
        <v>31</v>
      </c>
      <c r="J64" s="47" t="s">
        <v>27</v>
      </c>
    </row>
    <row r="65" spans="2:10" s="4" customFormat="1" ht="66" customHeight="1" x14ac:dyDescent="0.25">
      <c r="B65" s="43" t="s">
        <v>128</v>
      </c>
      <c r="C65" s="17" t="s">
        <v>294</v>
      </c>
      <c r="D65" s="45">
        <v>111212311</v>
      </c>
      <c r="E65" s="45" t="s">
        <v>50</v>
      </c>
      <c r="F65" s="45">
        <f>530*0.1</f>
        <v>53</v>
      </c>
      <c r="G65" s="123"/>
      <c r="H65" s="45">
        <v>0.5</v>
      </c>
      <c r="I65" s="50">
        <f>H65*G65*F65</f>
        <v>0</v>
      </c>
      <c r="J65" s="48" t="s">
        <v>293</v>
      </c>
    </row>
    <row r="66" spans="2:10" s="4" customFormat="1" ht="42.75" x14ac:dyDescent="0.25">
      <c r="B66" s="43" t="s">
        <v>129</v>
      </c>
      <c r="C66" s="17" t="s">
        <v>285</v>
      </c>
      <c r="D66" s="45">
        <v>111111311</v>
      </c>
      <c r="E66" s="45" t="s">
        <v>50</v>
      </c>
      <c r="F66" s="45">
        <f>530*0.3</f>
        <v>159</v>
      </c>
      <c r="G66" s="123"/>
      <c r="H66" s="45">
        <v>1</v>
      </c>
      <c r="I66" s="50">
        <f>H66*G66*F66</f>
        <v>0</v>
      </c>
      <c r="J66" s="48" t="s">
        <v>255</v>
      </c>
    </row>
    <row r="67" spans="2:10" s="4" customFormat="1" ht="71.25" x14ac:dyDescent="0.25">
      <c r="B67" s="43" t="s">
        <v>130</v>
      </c>
      <c r="C67" s="17" t="s">
        <v>463</v>
      </c>
      <c r="D67" s="45" t="s">
        <v>56</v>
      </c>
      <c r="E67" s="45" t="s">
        <v>50</v>
      </c>
      <c r="F67" s="45">
        <v>512</v>
      </c>
      <c r="G67" s="123"/>
      <c r="H67" s="45">
        <v>0.25</v>
      </c>
      <c r="I67" s="50">
        <f>H67*G67*F67</f>
        <v>0</v>
      </c>
      <c r="J67" s="77" t="s">
        <v>465</v>
      </c>
    </row>
    <row r="68" spans="2:10" s="3" customFormat="1" ht="15" customHeight="1" x14ac:dyDescent="0.25">
      <c r="B68" s="138" t="s">
        <v>33</v>
      </c>
      <c r="C68" s="139"/>
      <c r="D68" s="139"/>
      <c r="E68" s="139"/>
      <c r="F68" s="139"/>
      <c r="G68" s="139"/>
      <c r="H68" s="140"/>
      <c r="I68" s="19">
        <f>SUM(I65:I67)</f>
        <v>0</v>
      </c>
      <c r="J68" s="14"/>
    </row>
    <row r="70" spans="2:10" s="59" customFormat="1" ht="15" x14ac:dyDescent="0.25">
      <c r="B70" s="56">
        <v>6</v>
      </c>
      <c r="C70" s="57" t="s">
        <v>3</v>
      </c>
      <c r="D70" s="56"/>
      <c r="E70" s="56"/>
      <c r="F70" s="56"/>
      <c r="G70" s="56"/>
      <c r="H70" s="58"/>
      <c r="I70" s="58"/>
      <c r="J70" s="58"/>
    </row>
    <row r="71" spans="2:10" s="4" customFormat="1" ht="27" customHeight="1" x14ac:dyDescent="0.25">
      <c r="B71" s="7"/>
      <c r="C71" s="141" t="s">
        <v>458</v>
      </c>
      <c r="D71" s="141"/>
      <c r="E71" s="141"/>
      <c r="F71" s="141"/>
      <c r="G71" s="141"/>
      <c r="H71" s="141"/>
      <c r="I71" s="141"/>
      <c r="J71" s="141"/>
    </row>
    <row r="72" spans="2:10" ht="42.75" x14ac:dyDescent="0.2">
      <c r="B72" s="8" t="s">
        <v>0</v>
      </c>
      <c r="C72" s="12" t="s">
        <v>24</v>
      </c>
      <c r="D72" s="47" t="s">
        <v>30</v>
      </c>
      <c r="E72" s="47" t="s">
        <v>48</v>
      </c>
      <c r="F72" s="47" t="s">
        <v>29</v>
      </c>
      <c r="G72" s="47" t="s">
        <v>26</v>
      </c>
      <c r="H72" s="47" t="s">
        <v>25</v>
      </c>
      <c r="I72" s="47" t="s">
        <v>31</v>
      </c>
      <c r="J72" s="47" t="s">
        <v>27</v>
      </c>
    </row>
    <row r="73" spans="2:10" s="4" customFormat="1" ht="66" customHeight="1" x14ac:dyDescent="0.25">
      <c r="B73" s="43" t="s">
        <v>138</v>
      </c>
      <c r="C73" s="17" t="s">
        <v>294</v>
      </c>
      <c r="D73" s="45">
        <v>111212311</v>
      </c>
      <c r="E73" s="45" t="s">
        <v>50</v>
      </c>
      <c r="F73" s="45">
        <f>2856*0.1</f>
        <v>285.60000000000002</v>
      </c>
      <c r="G73" s="123"/>
      <c r="H73" s="45">
        <v>0.5</v>
      </c>
      <c r="I73" s="50">
        <f>H73*G73*F73</f>
        <v>0</v>
      </c>
      <c r="J73" s="48" t="s">
        <v>293</v>
      </c>
    </row>
    <row r="74" spans="2:10" s="4" customFormat="1" ht="42.75" x14ac:dyDescent="0.25">
      <c r="B74" s="43" t="s">
        <v>139</v>
      </c>
      <c r="C74" s="17" t="s">
        <v>285</v>
      </c>
      <c r="D74" s="45">
        <v>111111311</v>
      </c>
      <c r="E74" s="45" t="s">
        <v>50</v>
      </c>
      <c r="F74" s="45">
        <f>2856*0.3</f>
        <v>856.8</v>
      </c>
      <c r="G74" s="123"/>
      <c r="H74" s="45">
        <v>1</v>
      </c>
      <c r="I74" s="50">
        <f>H74*G74*F74</f>
        <v>0</v>
      </c>
      <c r="J74" s="48" t="s">
        <v>255</v>
      </c>
    </row>
    <row r="75" spans="2:10" s="4" customFormat="1" ht="99.75" x14ac:dyDescent="0.25">
      <c r="B75" s="43" t="s">
        <v>140</v>
      </c>
      <c r="C75" s="17" t="s">
        <v>463</v>
      </c>
      <c r="D75" s="45" t="s">
        <v>56</v>
      </c>
      <c r="E75" s="45" t="s">
        <v>50</v>
      </c>
      <c r="F75" s="45">
        <f>2856*0.1</f>
        <v>285.60000000000002</v>
      </c>
      <c r="G75" s="123"/>
      <c r="H75" s="45">
        <v>1</v>
      </c>
      <c r="I75" s="50">
        <f>H75*G75*F75</f>
        <v>0</v>
      </c>
      <c r="J75" s="77" t="s">
        <v>464</v>
      </c>
    </row>
    <row r="76" spans="2:10" s="3" customFormat="1" ht="15" customHeight="1" x14ac:dyDescent="0.25">
      <c r="B76" s="138" t="s">
        <v>33</v>
      </c>
      <c r="C76" s="139"/>
      <c r="D76" s="139"/>
      <c r="E76" s="139"/>
      <c r="F76" s="139"/>
      <c r="G76" s="139"/>
      <c r="H76" s="140"/>
      <c r="I76" s="19">
        <f>SUM(I73:I75)</f>
        <v>0</v>
      </c>
      <c r="J76" s="14"/>
    </row>
    <row r="78" spans="2:10" s="59" customFormat="1" ht="15" x14ac:dyDescent="0.25">
      <c r="B78" s="56">
        <v>7</v>
      </c>
      <c r="C78" s="57" t="s">
        <v>295</v>
      </c>
      <c r="D78" s="56"/>
      <c r="E78" s="56"/>
      <c r="F78" s="56"/>
      <c r="G78" s="56"/>
      <c r="H78" s="58"/>
      <c r="I78" s="58"/>
      <c r="J78" s="58"/>
    </row>
    <row r="79" spans="2:10" s="4" customFormat="1" ht="27" customHeight="1" x14ac:dyDescent="0.25">
      <c r="B79" s="7"/>
      <c r="C79" s="141" t="s">
        <v>469</v>
      </c>
      <c r="D79" s="141"/>
      <c r="E79" s="141"/>
      <c r="F79" s="141"/>
      <c r="G79" s="141"/>
      <c r="H79" s="141"/>
      <c r="I79" s="141"/>
      <c r="J79" s="141"/>
    </row>
    <row r="80" spans="2:10" ht="42.75" x14ac:dyDescent="0.2">
      <c r="B80" s="8" t="s">
        <v>0</v>
      </c>
      <c r="C80" s="12" t="s">
        <v>24</v>
      </c>
      <c r="D80" s="47" t="s">
        <v>30</v>
      </c>
      <c r="E80" s="47" t="s">
        <v>48</v>
      </c>
      <c r="F80" s="47" t="s">
        <v>29</v>
      </c>
      <c r="G80" s="47" t="s">
        <v>26</v>
      </c>
      <c r="H80" s="47" t="s">
        <v>25</v>
      </c>
      <c r="I80" s="47" t="s">
        <v>31</v>
      </c>
      <c r="J80" s="47" t="s">
        <v>27</v>
      </c>
    </row>
    <row r="81" spans="2:10" s="4" customFormat="1" ht="38.25" customHeight="1" x14ac:dyDescent="0.25">
      <c r="B81" s="43" t="s">
        <v>141</v>
      </c>
      <c r="C81" s="17" t="s">
        <v>77</v>
      </c>
      <c r="D81" s="45">
        <v>185804214</v>
      </c>
      <c r="E81" s="45" t="s">
        <v>50</v>
      </c>
      <c r="F81" s="45">
        <f>3316*0.3</f>
        <v>994.8</v>
      </c>
      <c r="G81" s="123"/>
      <c r="H81" s="45">
        <v>1</v>
      </c>
      <c r="I81" s="50">
        <f>H81*G81*F81</f>
        <v>0</v>
      </c>
      <c r="J81" s="48" t="s">
        <v>224</v>
      </c>
    </row>
    <row r="82" spans="2:10" s="32" customFormat="1" ht="33" customHeight="1" x14ac:dyDescent="0.25">
      <c r="B82" s="43" t="s">
        <v>142</v>
      </c>
      <c r="C82" s="17" t="s">
        <v>75</v>
      </c>
      <c r="D82" s="45">
        <v>185802113</v>
      </c>
      <c r="E82" s="66" t="s">
        <v>37</v>
      </c>
      <c r="F82" s="66">
        <f>(3316*20)/1000000</f>
        <v>6.6320000000000004E-2</v>
      </c>
      <c r="G82" s="124"/>
      <c r="H82" s="66">
        <v>0.5</v>
      </c>
      <c r="I82" s="31">
        <f t="shared" ref="I82:I83" si="0">H82*G82*F82</f>
        <v>0</v>
      </c>
      <c r="J82" s="75" t="s">
        <v>473</v>
      </c>
    </row>
    <row r="83" spans="2:10" s="32" customFormat="1" ht="18" customHeight="1" x14ac:dyDescent="0.2">
      <c r="B83" s="43" t="s">
        <v>143</v>
      </c>
      <c r="C83" s="34" t="s">
        <v>83</v>
      </c>
      <c r="D83" s="35">
        <v>251911550</v>
      </c>
      <c r="E83" s="66" t="s">
        <v>57</v>
      </c>
      <c r="F83" s="66">
        <f>(3316*20)/1000</f>
        <v>66.319999999999993</v>
      </c>
      <c r="G83" s="124"/>
      <c r="H83" s="66">
        <v>0.5</v>
      </c>
      <c r="I83" s="31">
        <f t="shared" si="0"/>
        <v>0</v>
      </c>
      <c r="J83" s="65"/>
    </row>
    <row r="84" spans="2:10" s="4" customFormat="1" ht="33" customHeight="1" x14ac:dyDescent="0.25">
      <c r="B84" s="43" t="s">
        <v>144</v>
      </c>
      <c r="C84" s="17" t="s">
        <v>156</v>
      </c>
      <c r="D84" s="45">
        <v>184911421</v>
      </c>
      <c r="E84" s="45" t="s">
        <v>50</v>
      </c>
      <c r="F84" s="45">
        <v>3316</v>
      </c>
      <c r="G84" s="123"/>
      <c r="H84" s="45">
        <v>0.5</v>
      </c>
      <c r="I84" s="50">
        <f t="shared" ref="I84:I85" si="1">H84*G84*F84</f>
        <v>0</v>
      </c>
      <c r="J84" s="48"/>
    </row>
    <row r="85" spans="2:10" s="4" customFormat="1" ht="20.25" customHeight="1" x14ac:dyDescent="0.25">
      <c r="B85" s="43" t="s">
        <v>145</v>
      </c>
      <c r="C85" s="17" t="s">
        <v>159</v>
      </c>
      <c r="D85" s="45">
        <v>103911000</v>
      </c>
      <c r="E85" s="45" t="s">
        <v>95</v>
      </c>
      <c r="F85" s="45">
        <f>F84*0.05</f>
        <v>165.8</v>
      </c>
      <c r="G85" s="123"/>
      <c r="H85" s="45">
        <v>0.5</v>
      </c>
      <c r="I85" s="50">
        <f t="shared" si="1"/>
        <v>0</v>
      </c>
      <c r="J85" s="48" t="s">
        <v>160</v>
      </c>
    </row>
    <row r="86" spans="2:10" s="3" customFormat="1" ht="15" customHeight="1" x14ac:dyDescent="0.25">
      <c r="B86" s="138" t="s">
        <v>33</v>
      </c>
      <c r="C86" s="139"/>
      <c r="D86" s="139"/>
      <c r="E86" s="139"/>
      <c r="F86" s="139"/>
      <c r="G86" s="139"/>
      <c r="H86" s="140"/>
      <c r="I86" s="19">
        <f>SUM(I81:I85)</f>
        <v>0</v>
      </c>
      <c r="J86" s="14"/>
    </row>
    <row r="88" spans="2:10" s="59" customFormat="1" ht="15" x14ac:dyDescent="0.25">
      <c r="B88" s="56">
        <v>8</v>
      </c>
      <c r="C88" s="57" t="s">
        <v>9</v>
      </c>
      <c r="D88" s="56"/>
      <c r="E88" s="56"/>
      <c r="F88" s="56"/>
      <c r="G88" s="56"/>
      <c r="H88" s="58"/>
      <c r="I88" s="58"/>
      <c r="J88" s="58"/>
    </row>
    <row r="89" spans="2:10" s="4" customFormat="1" ht="23.25" customHeight="1" x14ac:dyDescent="0.25">
      <c r="B89" s="7"/>
      <c r="C89" s="141" t="s">
        <v>476</v>
      </c>
      <c r="D89" s="141"/>
      <c r="E89" s="141"/>
      <c r="F89" s="141"/>
      <c r="G89" s="141"/>
      <c r="H89" s="141"/>
      <c r="I89" s="141"/>
      <c r="J89" s="141"/>
    </row>
    <row r="90" spans="2:10" ht="42.75" x14ac:dyDescent="0.2">
      <c r="B90" s="8" t="s">
        <v>0</v>
      </c>
      <c r="C90" s="12" t="s">
        <v>24</v>
      </c>
      <c r="D90" s="47" t="s">
        <v>30</v>
      </c>
      <c r="E90" s="47" t="s">
        <v>48</v>
      </c>
      <c r="F90" s="47" t="s">
        <v>29</v>
      </c>
      <c r="G90" s="47" t="s">
        <v>26</v>
      </c>
      <c r="H90" s="47" t="s">
        <v>25</v>
      </c>
      <c r="I90" s="47" t="s">
        <v>31</v>
      </c>
      <c r="J90" s="47" t="s">
        <v>27</v>
      </c>
    </row>
    <row r="91" spans="2:10" s="4" customFormat="1" ht="28.5" x14ac:dyDescent="0.25">
      <c r="B91" s="43" t="s">
        <v>148</v>
      </c>
      <c r="C91" s="17" t="s">
        <v>77</v>
      </c>
      <c r="D91" s="45">
        <v>185804214</v>
      </c>
      <c r="E91" s="45" t="s">
        <v>50</v>
      </c>
      <c r="F91" s="45">
        <f>24*0.3</f>
        <v>7.1999999999999993</v>
      </c>
      <c r="G91" s="123"/>
      <c r="H91" s="45">
        <v>3</v>
      </c>
      <c r="I91" s="50">
        <f>H91*G91*F91</f>
        <v>0</v>
      </c>
      <c r="J91" s="48" t="s">
        <v>172</v>
      </c>
    </row>
    <row r="92" spans="2:10" s="4" customFormat="1" ht="57" x14ac:dyDescent="0.25">
      <c r="B92" s="43" t="s">
        <v>149</v>
      </c>
      <c r="C92" s="17" t="s">
        <v>65</v>
      </c>
      <c r="D92" s="45">
        <v>184803112</v>
      </c>
      <c r="E92" s="45" t="s">
        <v>50</v>
      </c>
      <c r="F92" s="45">
        <v>24</v>
      </c>
      <c r="G92" s="123"/>
      <c r="H92" s="45">
        <v>1</v>
      </c>
      <c r="I92" s="50">
        <f>H92*G92*F92</f>
        <v>0</v>
      </c>
      <c r="J92" s="77" t="s">
        <v>474</v>
      </c>
    </row>
    <row r="93" spans="2:10" s="32" customFormat="1" ht="45" x14ac:dyDescent="0.25">
      <c r="B93" s="43" t="s">
        <v>190</v>
      </c>
      <c r="C93" s="17" t="s">
        <v>75</v>
      </c>
      <c r="D93" s="45">
        <v>185802113</v>
      </c>
      <c r="E93" s="66" t="s">
        <v>37</v>
      </c>
      <c r="F93" s="66">
        <f>(24*20)/1000000</f>
        <v>4.8000000000000001E-4</v>
      </c>
      <c r="G93" s="124"/>
      <c r="H93" s="66">
        <v>1</v>
      </c>
      <c r="I93" s="31">
        <f t="shared" ref="I93:I94" si="2">H93*G93*F93</f>
        <v>0</v>
      </c>
      <c r="J93" s="74" t="s">
        <v>475</v>
      </c>
    </row>
    <row r="94" spans="2:10" s="32" customFormat="1" x14ac:dyDescent="0.2">
      <c r="B94" s="43" t="s">
        <v>229</v>
      </c>
      <c r="C94" s="34" t="s">
        <v>83</v>
      </c>
      <c r="D94" s="35">
        <v>251911550</v>
      </c>
      <c r="E94" s="66" t="s">
        <v>57</v>
      </c>
      <c r="F94" s="66">
        <f>(24*20)/1000</f>
        <v>0.48</v>
      </c>
      <c r="G94" s="124"/>
      <c r="H94" s="66">
        <v>1</v>
      </c>
      <c r="I94" s="31">
        <f t="shared" si="2"/>
        <v>0</v>
      </c>
      <c r="J94" s="65"/>
    </row>
    <row r="95" spans="2:10" s="3" customFormat="1" ht="15" customHeight="1" x14ac:dyDescent="0.25">
      <c r="B95" s="138" t="s">
        <v>33</v>
      </c>
      <c r="C95" s="139"/>
      <c r="D95" s="139"/>
      <c r="E95" s="139"/>
      <c r="F95" s="139"/>
      <c r="G95" s="139"/>
      <c r="H95" s="140"/>
      <c r="I95" s="19">
        <f>SUM(I91:I94)</f>
        <v>0</v>
      </c>
      <c r="J95" s="14"/>
    </row>
    <row r="97" spans="2:10" s="57" customFormat="1" ht="15" x14ac:dyDescent="0.25">
      <c r="B97" s="56">
        <v>9</v>
      </c>
      <c r="C97" s="57" t="s">
        <v>10</v>
      </c>
      <c r="D97" s="56"/>
      <c r="E97" s="56"/>
      <c r="F97" s="56"/>
      <c r="G97" s="56"/>
      <c r="H97" s="56"/>
      <c r="I97" s="56"/>
      <c r="J97" s="56"/>
    </row>
    <row r="98" spans="2:10" s="4" customFormat="1" ht="23.25" customHeight="1" x14ac:dyDescent="0.25">
      <c r="B98" s="7"/>
      <c r="C98" s="141" t="s">
        <v>283</v>
      </c>
      <c r="D98" s="141"/>
      <c r="E98" s="141"/>
      <c r="F98" s="141"/>
      <c r="G98" s="141"/>
      <c r="H98" s="141"/>
      <c r="I98" s="141"/>
      <c r="J98" s="141"/>
    </row>
    <row r="99" spans="2:10" ht="42.75" x14ac:dyDescent="0.2">
      <c r="B99" s="8" t="s">
        <v>0</v>
      </c>
      <c r="C99" s="12" t="s">
        <v>24</v>
      </c>
      <c r="D99" s="47" t="s">
        <v>30</v>
      </c>
      <c r="E99" s="47" t="s">
        <v>48</v>
      </c>
      <c r="F99" s="47" t="s">
        <v>29</v>
      </c>
      <c r="G99" s="47" t="s">
        <v>26</v>
      </c>
      <c r="H99" s="47" t="s">
        <v>25</v>
      </c>
      <c r="I99" s="47" t="s">
        <v>31</v>
      </c>
      <c r="J99" s="47" t="s">
        <v>27</v>
      </c>
    </row>
    <row r="100" spans="2:10" s="4" customFormat="1" ht="16.5" x14ac:dyDescent="0.25">
      <c r="B100" s="43" t="s">
        <v>150</v>
      </c>
      <c r="C100" s="17" t="s">
        <v>163</v>
      </c>
      <c r="D100" s="45">
        <v>185804211</v>
      </c>
      <c r="E100" s="45" t="s">
        <v>50</v>
      </c>
      <c r="F100" s="45">
        <f>58*0.3</f>
        <v>17.399999999999999</v>
      </c>
      <c r="G100" s="123"/>
      <c r="H100" s="45">
        <v>3</v>
      </c>
      <c r="I100" s="50">
        <f t="shared" ref="I100:I105" si="3">H100*G100*F100</f>
        <v>0</v>
      </c>
      <c r="J100" s="48" t="s">
        <v>224</v>
      </c>
    </row>
    <row r="101" spans="2:10" s="32" customFormat="1" ht="28.5" x14ac:dyDescent="0.25">
      <c r="B101" s="43" t="s">
        <v>151</v>
      </c>
      <c r="C101" s="29" t="s">
        <v>75</v>
      </c>
      <c r="D101" s="66">
        <v>185802113</v>
      </c>
      <c r="E101" s="66" t="s">
        <v>37</v>
      </c>
      <c r="F101" s="66">
        <f>(58*20)/1000000</f>
        <v>1.16E-3</v>
      </c>
      <c r="G101" s="124"/>
      <c r="H101" s="66">
        <v>1</v>
      </c>
      <c r="I101" s="31">
        <f t="shared" si="3"/>
        <v>0</v>
      </c>
      <c r="J101" s="75" t="s">
        <v>477</v>
      </c>
    </row>
    <row r="102" spans="2:10" s="32" customFormat="1" x14ac:dyDescent="0.2">
      <c r="B102" s="43" t="s">
        <v>161</v>
      </c>
      <c r="C102" s="34" t="s">
        <v>83</v>
      </c>
      <c r="D102" s="35">
        <v>251911550</v>
      </c>
      <c r="E102" s="66" t="s">
        <v>57</v>
      </c>
      <c r="F102" s="66">
        <f>(58*20)/1000</f>
        <v>1.1599999999999999</v>
      </c>
      <c r="G102" s="124"/>
      <c r="H102" s="66">
        <v>1</v>
      </c>
      <c r="I102" s="31">
        <f t="shared" si="3"/>
        <v>0</v>
      </c>
      <c r="J102" s="65"/>
    </row>
    <row r="103" spans="2:10" s="4" customFormat="1" ht="28.5" x14ac:dyDescent="0.25">
      <c r="B103" s="43" t="s">
        <v>258</v>
      </c>
      <c r="C103" s="17" t="s">
        <v>68</v>
      </c>
      <c r="D103" s="45">
        <v>185804252</v>
      </c>
      <c r="E103" s="45" t="s">
        <v>50</v>
      </c>
      <c r="F103" s="45">
        <v>58</v>
      </c>
      <c r="G103" s="123"/>
      <c r="H103" s="45">
        <v>1</v>
      </c>
      <c r="I103" s="50">
        <f t="shared" si="3"/>
        <v>0</v>
      </c>
      <c r="J103" s="48"/>
    </row>
    <row r="104" spans="2:10" s="4" customFormat="1" ht="28.5" x14ac:dyDescent="0.25">
      <c r="B104" s="43" t="s">
        <v>259</v>
      </c>
      <c r="C104" s="17" t="s">
        <v>156</v>
      </c>
      <c r="D104" s="45">
        <v>184911421</v>
      </c>
      <c r="E104" s="45" t="s">
        <v>50</v>
      </c>
      <c r="F104" s="45">
        <v>58</v>
      </c>
      <c r="G104" s="123"/>
      <c r="H104" s="45">
        <v>0.5</v>
      </c>
      <c r="I104" s="50">
        <f t="shared" si="3"/>
        <v>0</v>
      </c>
      <c r="J104" s="48"/>
    </row>
    <row r="105" spans="2:10" s="4" customFormat="1" ht="16.5" x14ac:dyDescent="0.25">
      <c r="B105" s="43" t="s">
        <v>260</v>
      </c>
      <c r="C105" s="17" t="s">
        <v>159</v>
      </c>
      <c r="D105" s="45">
        <v>103911000</v>
      </c>
      <c r="E105" s="45" t="s">
        <v>95</v>
      </c>
      <c r="F105" s="45">
        <f>F104*0.05</f>
        <v>2.9000000000000004</v>
      </c>
      <c r="G105" s="123"/>
      <c r="H105" s="45">
        <v>0.5</v>
      </c>
      <c r="I105" s="50">
        <f t="shared" si="3"/>
        <v>0</v>
      </c>
      <c r="J105" s="48" t="s">
        <v>160</v>
      </c>
    </row>
    <row r="106" spans="2:10" s="3" customFormat="1" ht="15" customHeight="1" x14ac:dyDescent="0.25">
      <c r="B106" s="138" t="s">
        <v>33</v>
      </c>
      <c r="C106" s="139"/>
      <c r="D106" s="139"/>
      <c r="E106" s="139"/>
      <c r="F106" s="139"/>
      <c r="G106" s="139"/>
      <c r="H106" s="140"/>
      <c r="I106" s="19">
        <f>SUM(I100:I105)</f>
        <v>0</v>
      </c>
      <c r="J106" s="14"/>
    </row>
    <row r="108" spans="2:10" s="59" customFormat="1" ht="15" x14ac:dyDescent="0.25">
      <c r="B108" s="56">
        <v>10</v>
      </c>
      <c r="C108" s="57" t="s">
        <v>35</v>
      </c>
      <c r="D108" s="56"/>
      <c r="E108" s="56"/>
      <c r="F108" s="56"/>
      <c r="G108" s="56"/>
      <c r="H108" s="58"/>
      <c r="I108" s="58"/>
      <c r="J108" s="58"/>
    </row>
    <row r="109" spans="2:10" s="81" customFormat="1" ht="41.25" customHeight="1" x14ac:dyDescent="0.25">
      <c r="B109" s="93"/>
      <c r="C109" s="142" t="s">
        <v>570</v>
      </c>
      <c r="D109" s="142"/>
      <c r="E109" s="142"/>
      <c r="F109" s="142"/>
      <c r="G109" s="142"/>
      <c r="H109" s="142"/>
      <c r="I109" s="142"/>
      <c r="J109" s="142"/>
    </row>
    <row r="110" spans="2:10" ht="42.75" x14ac:dyDescent="0.2">
      <c r="B110" s="8" t="s">
        <v>0</v>
      </c>
      <c r="C110" s="12" t="s">
        <v>24</v>
      </c>
      <c r="D110" s="47" t="s">
        <v>30</v>
      </c>
      <c r="E110" s="47" t="s">
        <v>48</v>
      </c>
      <c r="F110" s="47" t="s">
        <v>29</v>
      </c>
      <c r="G110" s="47" t="s">
        <v>26</v>
      </c>
      <c r="H110" s="47" t="s">
        <v>25</v>
      </c>
      <c r="I110" s="47" t="s">
        <v>31</v>
      </c>
      <c r="J110" s="47" t="s">
        <v>27</v>
      </c>
    </row>
    <row r="111" spans="2:10" s="4" customFormat="1" ht="57.75" x14ac:dyDescent="0.25">
      <c r="B111" s="43" t="s">
        <v>225</v>
      </c>
      <c r="C111" s="17" t="s">
        <v>61</v>
      </c>
      <c r="D111" s="45">
        <v>111151221</v>
      </c>
      <c r="E111" s="45" t="s">
        <v>50</v>
      </c>
      <c r="F111" s="45">
        <v>4723</v>
      </c>
      <c r="G111" s="123"/>
      <c r="H111" s="45">
        <v>6</v>
      </c>
      <c r="I111" s="50">
        <f>F111*G111*H111</f>
        <v>0</v>
      </c>
      <c r="J111" s="77" t="s">
        <v>478</v>
      </c>
    </row>
    <row r="112" spans="2:10" s="4" customFormat="1" ht="28.5" x14ac:dyDescent="0.25">
      <c r="B112" s="43" t="s">
        <v>226</v>
      </c>
      <c r="C112" s="17" t="s">
        <v>220</v>
      </c>
      <c r="D112" s="45" t="s">
        <v>56</v>
      </c>
      <c r="E112" s="45" t="s">
        <v>42</v>
      </c>
      <c r="F112" s="45">
        <v>2</v>
      </c>
      <c r="G112" s="123"/>
      <c r="H112" s="45">
        <v>6</v>
      </c>
      <c r="I112" s="50">
        <f>F112*G112*H112</f>
        <v>0</v>
      </c>
      <c r="J112" s="45"/>
    </row>
    <row r="113" spans="2:11" s="4" customFormat="1" ht="42.75" x14ac:dyDescent="0.25">
      <c r="B113" s="43" t="s">
        <v>227</v>
      </c>
      <c r="C113" s="17" t="s">
        <v>71</v>
      </c>
      <c r="D113" s="45">
        <v>185811221</v>
      </c>
      <c r="E113" s="45" t="s">
        <v>50</v>
      </c>
      <c r="F113" s="45">
        <f>F111*0.3</f>
        <v>1416.8999999999999</v>
      </c>
      <c r="G113" s="123"/>
      <c r="H113" s="45">
        <v>1</v>
      </c>
      <c r="I113" s="50">
        <f t="shared" ref="I113" si="4">F113*G113*H113</f>
        <v>0</v>
      </c>
      <c r="J113" s="6" t="s">
        <v>480</v>
      </c>
      <c r="K113" s="136"/>
    </row>
    <row r="114" spans="2:11" s="4" customFormat="1" ht="71.25" x14ac:dyDescent="0.25">
      <c r="B114" s="43" t="s">
        <v>343</v>
      </c>
      <c r="C114" s="17" t="s">
        <v>63</v>
      </c>
      <c r="D114" s="45">
        <v>183451421</v>
      </c>
      <c r="E114" s="45" t="s">
        <v>50</v>
      </c>
      <c r="F114" s="45">
        <f>F111</f>
        <v>4723</v>
      </c>
      <c r="G114" s="123"/>
      <c r="H114" s="45">
        <v>0.5</v>
      </c>
      <c r="I114" s="50">
        <f>F114*G114*H114</f>
        <v>0</v>
      </c>
      <c r="J114" s="6" t="s">
        <v>479</v>
      </c>
      <c r="K114" s="136"/>
    </row>
    <row r="115" spans="2:11" s="4" customFormat="1" ht="57" x14ac:dyDescent="0.25">
      <c r="B115" s="43" t="s">
        <v>344</v>
      </c>
      <c r="C115" s="17" t="s">
        <v>108</v>
      </c>
      <c r="D115" s="45">
        <v>183451321</v>
      </c>
      <c r="E115" s="45" t="s">
        <v>50</v>
      </c>
      <c r="F115" s="45">
        <f>F111</f>
        <v>4723</v>
      </c>
      <c r="G115" s="123"/>
      <c r="H115" s="45">
        <v>0.5</v>
      </c>
      <c r="I115" s="50">
        <f>F115*G115*H115</f>
        <v>0</v>
      </c>
      <c r="J115" s="6" t="s">
        <v>481</v>
      </c>
      <c r="K115" s="136"/>
    </row>
    <row r="116" spans="2:11" s="4" customFormat="1" ht="73.5" x14ac:dyDescent="0.25">
      <c r="B116" s="43" t="s">
        <v>345</v>
      </c>
      <c r="C116" s="29" t="s">
        <v>75</v>
      </c>
      <c r="D116" s="66">
        <v>185802113</v>
      </c>
      <c r="E116" s="66" t="s">
        <v>37</v>
      </c>
      <c r="F116" s="45">
        <f>(F111*20)/1000000</f>
        <v>9.4460000000000002E-2</v>
      </c>
      <c r="G116" s="123"/>
      <c r="H116" s="45">
        <v>1</v>
      </c>
      <c r="I116" s="50">
        <f>F116*G116*H116</f>
        <v>0</v>
      </c>
      <c r="J116" s="77" t="s">
        <v>482</v>
      </c>
      <c r="K116" s="40"/>
    </row>
    <row r="117" spans="2:11" s="4" customFormat="1" ht="18.75" customHeight="1" x14ac:dyDescent="0.2">
      <c r="B117" s="43" t="s">
        <v>346</v>
      </c>
      <c r="C117" s="2" t="s">
        <v>83</v>
      </c>
      <c r="D117" s="35">
        <v>251911550</v>
      </c>
      <c r="E117" s="45" t="s">
        <v>57</v>
      </c>
      <c r="F117" s="45">
        <f>(F111*20)/1000</f>
        <v>94.46</v>
      </c>
      <c r="G117" s="123"/>
      <c r="H117" s="45">
        <v>1</v>
      </c>
      <c r="I117" s="50">
        <f>F117*G117*H117</f>
        <v>0</v>
      </c>
      <c r="J117" s="45"/>
      <c r="K117" s="51"/>
    </row>
    <row r="118" spans="2:11" s="3" customFormat="1" ht="15" customHeight="1" x14ac:dyDescent="0.25">
      <c r="B118" s="138" t="s">
        <v>33</v>
      </c>
      <c r="C118" s="139"/>
      <c r="D118" s="139"/>
      <c r="E118" s="139"/>
      <c r="F118" s="139"/>
      <c r="G118" s="139"/>
      <c r="H118" s="140"/>
      <c r="I118" s="19">
        <f>SUM(I111:I117)</f>
        <v>0</v>
      </c>
      <c r="J118" s="14"/>
    </row>
    <row r="120" spans="2:11" s="59" customFormat="1" ht="15" x14ac:dyDescent="0.25">
      <c r="B120" s="56">
        <v>11</v>
      </c>
      <c r="C120" s="57" t="s">
        <v>311</v>
      </c>
      <c r="D120" s="56"/>
      <c r="E120" s="56"/>
      <c r="F120" s="56"/>
      <c r="G120" s="56"/>
      <c r="H120" s="58"/>
      <c r="I120" s="58"/>
      <c r="J120" s="58"/>
    </row>
    <row r="121" spans="2:11" s="81" customFormat="1" ht="34.5" customHeight="1" x14ac:dyDescent="0.25">
      <c r="B121" s="93"/>
      <c r="C121" s="159" t="s">
        <v>584</v>
      </c>
      <c r="D121" s="159"/>
      <c r="E121" s="159"/>
      <c r="F121" s="159"/>
      <c r="G121" s="159"/>
      <c r="H121" s="159"/>
      <c r="I121" s="159"/>
      <c r="J121" s="159"/>
    </row>
    <row r="122" spans="2:11" s="59" customFormat="1" ht="42.75" x14ac:dyDescent="0.2">
      <c r="B122" s="8" t="s">
        <v>0</v>
      </c>
      <c r="C122" s="12" t="s">
        <v>24</v>
      </c>
      <c r="D122" s="72" t="s">
        <v>30</v>
      </c>
      <c r="E122" s="72" t="s">
        <v>48</v>
      </c>
      <c r="F122" s="72" t="s">
        <v>29</v>
      </c>
      <c r="G122" s="72" t="s">
        <v>26</v>
      </c>
      <c r="H122" s="72" t="s">
        <v>25</v>
      </c>
      <c r="I122" s="72" t="s">
        <v>31</v>
      </c>
      <c r="J122" s="72" t="s">
        <v>27</v>
      </c>
    </row>
    <row r="123" spans="2:11" s="81" customFormat="1" ht="57.75" x14ac:dyDescent="0.25">
      <c r="B123" s="55" t="s">
        <v>261</v>
      </c>
      <c r="C123" s="36" t="s">
        <v>61</v>
      </c>
      <c r="D123" s="76">
        <v>111151221</v>
      </c>
      <c r="E123" s="76" t="s">
        <v>50</v>
      </c>
      <c r="F123" s="76">
        <v>1103</v>
      </c>
      <c r="G123" s="125"/>
      <c r="H123" s="76">
        <v>8</v>
      </c>
      <c r="I123" s="78">
        <f>F123*G123*H123</f>
        <v>0</v>
      </c>
      <c r="J123" s="6" t="s">
        <v>478</v>
      </c>
    </row>
    <row r="124" spans="2:11" s="81" customFormat="1" ht="28.5" x14ac:dyDescent="0.25">
      <c r="B124" s="55" t="s">
        <v>262</v>
      </c>
      <c r="C124" s="36" t="s">
        <v>220</v>
      </c>
      <c r="D124" s="76" t="s">
        <v>56</v>
      </c>
      <c r="E124" s="76" t="s">
        <v>42</v>
      </c>
      <c r="F124" s="76">
        <v>0.5</v>
      </c>
      <c r="G124" s="125"/>
      <c r="H124" s="76">
        <v>8</v>
      </c>
      <c r="I124" s="78">
        <f>F124*G124*H124</f>
        <v>0</v>
      </c>
      <c r="J124" s="76"/>
    </row>
    <row r="125" spans="2:11" s="81" customFormat="1" ht="42.75" x14ac:dyDescent="0.25">
      <c r="B125" s="55" t="s">
        <v>263</v>
      </c>
      <c r="C125" s="36" t="s">
        <v>71</v>
      </c>
      <c r="D125" s="76">
        <v>185811221</v>
      </c>
      <c r="E125" s="76" t="s">
        <v>50</v>
      </c>
      <c r="F125" s="76">
        <f>F123*0.3</f>
        <v>330.9</v>
      </c>
      <c r="G125" s="125"/>
      <c r="H125" s="76">
        <v>1</v>
      </c>
      <c r="I125" s="78">
        <f t="shared" ref="I125" si="5">F125*G125*H125</f>
        <v>0</v>
      </c>
      <c r="J125" s="6" t="s">
        <v>480</v>
      </c>
      <c r="K125" s="160"/>
    </row>
    <row r="126" spans="2:11" s="81" customFormat="1" ht="71.25" x14ac:dyDescent="0.25">
      <c r="B126" s="55" t="s">
        <v>264</v>
      </c>
      <c r="C126" s="36" t="s">
        <v>63</v>
      </c>
      <c r="D126" s="76">
        <v>183451421</v>
      </c>
      <c r="E126" s="76" t="s">
        <v>50</v>
      </c>
      <c r="F126" s="76">
        <f>F123</f>
        <v>1103</v>
      </c>
      <c r="G126" s="125"/>
      <c r="H126" s="76">
        <v>0.5</v>
      </c>
      <c r="I126" s="78">
        <f>F126*G126*H126</f>
        <v>0</v>
      </c>
      <c r="J126" s="6" t="s">
        <v>479</v>
      </c>
      <c r="K126" s="160"/>
    </row>
    <row r="127" spans="2:11" s="81" customFormat="1" ht="57" x14ac:dyDescent="0.25">
      <c r="B127" s="55" t="s">
        <v>265</v>
      </c>
      <c r="C127" s="36" t="s">
        <v>108</v>
      </c>
      <c r="D127" s="76">
        <v>183451321</v>
      </c>
      <c r="E127" s="76" t="s">
        <v>50</v>
      </c>
      <c r="F127" s="76">
        <v>9193</v>
      </c>
      <c r="G127" s="125"/>
      <c r="H127" s="76">
        <v>0.5</v>
      </c>
      <c r="I127" s="78">
        <f>F127*G127*H127</f>
        <v>0</v>
      </c>
      <c r="J127" s="6" t="s">
        <v>481</v>
      </c>
      <c r="K127" s="160"/>
    </row>
    <row r="128" spans="2:11" s="81" customFormat="1" ht="73.5" x14ac:dyDescent="0.25">
      <c r="B128" s="55" t="s">
        <v>266</v>
      </c>
      <c r="C128" s="96" t="s">
        <v>75</v>
      </c>
      <c r="D128" s="24">
        <v>185802113</v>
      </c>
      <c r="E128" s="24" t="s">
        <v>37</v>
      </c>
      <c r="F128" s="76">
        <f>(F123*20)/1000000</f>
        <v>2.206E-2</v>
      </c>
      <c r="G128" s="125"/>
      <c r="H128" s="76">
        <v>1</v>
      </c>
      <c r="I128" s="78">
        <f>F128*G128*H128</f>
        <v>0</v>
      </c>
      <c r="J128" s="6" t="s">
        <v>482</v>
      </c>
      <c r="K128" s="97"/>
    </row>
    <row r="129" spans="2:11" s="81" customFormat="1" ht="18.75" customHeight="1" x14ac:dyDescent="0.2">
      <c r="B129" s="55" t="s">
        <v>267</v>
      </c>
      <c r="C129" s="5" t="s">
        <v>83</v>
      </c>
      <c r="D129" s="35">
        <v>251911550</v>
      </c>
      <c r="E129" s="76" t="s">
        <v>57</v>
      </c>
      <c r="F129" s="76">
        <f>(F123*20)/1000</f>
        <v>22.06</v>
      </c>
      <c r="G129" s="125"/>
      <c r="H129" s="76">
        <v>1</v>
      </c>
      <c r="I129" s="78">
        <f>F129*G129*H129</f>
        <v>0</v>
      </c>
      <c r="J129" s="76"/>
      <c r="K129" s="98"/>
    </row>
    <row r="130" spans="2:11" s="57" customFormat="1" ht="15" customHeight="1" x14ac:dyDescent="0.25">
      <c r="B130" s="138" t="s">
        <v>33</v>
      </c>
      <c r="C130" s="139"/>
      <c r="D130" s="139"/>
      <c r="E130" s="139"/>
      <c r="F130" s="139"/>
      <c r="G130" s="139"/>
      <c r="H130" s="140"/>
      <c r="I130" s="19">
        <f>SUM(I123:I129)</f>
        <v>0</v>
      </c>
      <c r="J130" s="14"/>
    </row>
    <row r="132" spans="2:11" s="59" customFormat="1" ht="15" x14ac:dyDescent="0.25">
      <c r="B132" s="56">
        <v>12</v>
      </c>
      <c r="C132" s="57" t="s">
        <v>34</v>
      </c>
      <c r="D132" s="56"/>
      <c r="E132" s="56"/>
      <c r="F132" s="56"/>
      <c r="G132" s="56"/>
      <c r="H132" s="58"/>
      <c r="I132" s="58"/>
      <c r="J132" s="58"/>
    </row>
    <row r="133" spans="2:11" s="4" customFormat="1" ht="23.25" customHeight="1" x14ac:dyDescent="0.25">
      <c r="B133" s="7"/>
      <c r="C133" s="141" t="s">
        <v>289</v>
      </c>
      <c r="D133" s="141"/>
      <c r="E133" s="141"/>
      <c r="F133" s="141"/>
      <c r="G133" s="141"/>
      <c r="H133" s="141"/>
      <c r="I133" s="141"/>
      <c r="J133" s="141"/>
    </row>
    <row r="134" spans="2:11" ht="42.75" x14ac:dyDescent="0.2">
      <c r="B134" s="8" t="s">
        <v>0</v>
      </c>
      <c r="C134" s="12" t="s">
        <v>24</v>
      </c>
      <c r="D134" s="47" t="s">
        <v>30</v>
      </c>
      <c r="E134" s="47" t="s">
        <v>48</v>
      </c>
      <c r="F134" s="47" t="s">
        <v>29</v>
      </c>
      <c r="G134" s="47" t="s">
        <v>26</v>
      </c>
      <c r="H134" s="47" t="s">
        <v>25</v>
      </c>
      <c r="I134" s="47" t="s">
        <v>31</v>
      </c>
      <c r="J134" s="47" t="s">
        <v>27</v>
      </c>
    </row>
    <row r="135" spans="2:11" s="81" customFormat="1" ht="57.75" x14ac:dyDescent="0.25">
      <c r="B135" s="55" t="s">
        <v>268</v>
      </c>
      <c r="C135" s="36" t="s">
        <v>60</v>
      </c>
      <c r="D135" s="76">
        <v>111151331</v>
      </c>
      <c r="E135" s="76" t="s">
        <v>50</v>
      </c>
      <c r="F135" s="76">
        <v>34879</v>
      </c>
      <c r="G135" s="125"/>
      <c r="H135" s="76">
        <v>5</v>
      </c>
      <c r="I135" s="78">
        <f>F135*G135*H135</f>
        <v>0</v>
      </c>
      <c r="J135" s="6" t="s">
        <v>478</v>
      </c>
    </row>
    <row r="136" spans="2:11" s="81" customFormat="1" ht="57" x14ac:dyDescent="0.25">
      <c r="B136" s="55" t="s">
        <v>303</v>
      </c>
      <c r="C136" s="36" t="s">
        <v>288</v>
      </c>
      <c r="D136" s="76">
        <v>183403152</v>
      </c>
      <c r="E136" s="76" t="s">
        <v>50</v>
      </c>
      <c r="F136" s="76">
        <f>F135</f>
        <v>34879</v>
      </c>
      <c r="G136" s="125"/>
      <c r="H136" s="76">
        <v>1</v>
      </c>
      <c r="I136" s="78">
        <f>F136*G136*H136</f>
        <v>0</v>
      </c>
      <c r="J136" s="6" t="s">
        <v>483</v>
      </c>
    </row>
    <row r="137" spans="2:11" s="81" customFormat="1" ht="42.75" x14ac:dyDescent="0.25">
      <c r="B137" s="55" t="s">
        <v>304</v>
      </c>
      <c r="C137" s="36" t="s">
        <v>72</v>
      </c>
      <c r="D137" s="76">
        <v>185811231</v>
      </c>
      <c r="E137" s="76" t="s">
        <v>50</v>
      </c>
      <c r="F137" s="76">
        <f>F135*0.3</f>
        <v>10463.699999999999</v>
      </c>
      <c r="G137" s="125"/>
      <c r="H137" s="76">
        <v>1</v>
      </c>
      <c r="I137" s="78">
        <f t="shared" ref="I137" si="6">F137*G137*H137</f>
        <v>0</v>
      </c>
      <c r="J137" s="6" t="s">
        <v>480</v>
      </c>
      <c r="K137" s="97"/>
    </row>
    <row r="138" spans="2:11" s="3" customFormat="1" ht="15" customHeight="1" x14ac:dyDescent="0.25">
      <c r="B138" s="138" t="s">
        <v>33</v>
      </c>
      <c r="C138" s="139"/>
      <c r="D138" s="139"/>
      <c r="E138" s="139"/>
      <c r="F138" s="139"/>
      <c r="G138" s="139"/>
      <c r="H138" s="140"/>
      <c r="I138" s="19">
        <f>SUM(I135:I137)</f>
        <v>0</v>
      </c>
      <c r="J138" s="14"/>
    </row>
    <row r="140" spans="2:11" s="59" customFormat="1" ht="15" x14ac:dyDescent="0.25">
      <c r="B140" s="56">
        <v>13</v>
      </c>
      <c r="C140" s="57" t="s">
        <v>248</v>
      </c>
      <c r="D140" s="56"/>
      <c r="E140" s="56"/>
      <c r="F140" s="56"/>
      <c r="G140" s="56"/>
      <c r="H140" s="58"/>
      <c r="I140" s="58"/>
      <c r="J140" s="58"/>
    </row>
    <row r="141" spans="2:11" s="4" customFormat="1" ht="21.75" customHeight="1" x14ac:dyDescent="0.25">
      <c r="B141" s="7"/>
      <c r="C141" s="141" t="s">
        <v>355</v>
      </c>
      <c r="D141" s="141"/>
      <c r="E141" s="141"/>
      <c r="F141" s="141"/>
      <c r="G141" s="141"/>
      <c r="H141" s="141"/>
      <c r="I141" s="141"/>
      <c r="J141" s="141"/>
    </row>
    <row r="142" spans="2:11" ht="42.75" x14ac:dyDescent="0.2">
      <c r="B142" s="8" t="s">
        <v>0</v>
      </c>
      <c r="C142" s="12" t="s">
        <v>24</v>
      </c>
      <c r="D142" s="47" t="s">
        <v>30</v>
      </c>
      <c r="E142" s="47" t="s">
        <v>48</v>
      </c>
      <c r="F142" s="47" t="s">
        <v>29</v>
      </c>
      <c r="G142" s="47" t="s">
        <v>26</v>
      </c>
      <c r="H142" s="47" t="s">
        <v>25</v>
      </c>
      <c r="I142" s="47" t="s">
        <v>31</v>
      </c>
      <c r="J142" s="47" t="s">
        <v>27</v>
      </c>
    </row>
    <row r="143" spans="2:11" s="32" customFormat="1" ht="99.75" x14ac:dyDescent="0.25">
      <c r="B143" s="67" t="s">
        <v>269</v>
      </c>
      <c r="C143" s="29" t="s">
        <v>249</v>
      </c>
      <c r="D143" s="66" t="s">
        <v>56</v>
      </c>
      <c r="E143" s="66" t="s">
        <v>251</v>
      </c>
      <c r="F143" s="66">
        <v>21.6</v>
      </c>
      <c r="G143" s="124"/>
      <c r="H143" s="66">
        <v>0.25</v>
      </c>
      <c r="I143" s="31">
        <f>H143*G143*F143</f>
        <v>0</v>
      </c>
      <c r="J143" s="65" t="s">
        <v>250</v>
      </c>
    </row>
    <row r="144" spans="2:11" s="3" customFormat="1" ht="15" customHeight="1" x14ac:dyDescent="0.25">
      <c r="B144" s="138" t="s">
        <v>33</v>
      </c>
      <c r="C144" s="139"/>
      <c r="D144" s="139"/>
      <c r="E144" s="139"/>
      <c r="F144" s="139"/>
      <c r="G144" s="139"/>
      <c r="H144" s="140"/>
      <c r="I144" s="19">
        <f>SUM(I143:I143)</f>
        <v>0</v>
      </c>
      <c r="J144" s="14"/>
    </row>
    <row r="146" spans="2:11" s="59" customFormat="1" ht="15" x14ac:dyDescent="0.25">
      <c r="B146" s="56">
        <v>14</v>
      </c>
      <c r="C146" s="57" t="s">
        <v>281</v>
      </c>
      <c r="D146" s="56"/>
      <c r="E146" s="56"/>
      <c r="F146" s="56"/>
      <c r="G146" s="56"/>
      <c r="H146" s="58"/>
      <c r="I146" s="58"/>
      <c r="J146" s="58"/>
    </row>
    <row r="147" spans="2:11" s="4" customFormat="1" ht="35.25" customHeight="1" x14ac:dyDescent="0.25">
      <c r="B147" s="7"/>
      <c r="C147" s="141" t="s">
        <v>282</v>
      </c>
      <c r="D147" s="141"/>
      <c r="E147" s="141"/>
      <c r="F147" s="141"/>
      <c r="G147" s="141"/>
      <c r="H147" s="141"/>
      <c r="I147" s="141"/>
      <c r="J147" s="141"/>
    </row>
    <row r="148" spans="2:11" ht="42.75" x14ac:dyDescent="0.2">
      <c r="B148" s="8" t="s">
        <v>0</v>
      </c>
      <c r="C148" s="12" t="s">
        <v>24</v>
      </c>
      <c r="D148" s="47" t="s">
        <v>30</v>
      </c>
      <c r="E148" s="47" t="s">
        <v>48</v>
      </c>
      <c r="F148" s="47" t="s">
        <v>29</v>
      </c>
      <c r="G148" s="47" t="s">
        <v>26</v>
      </c>
      <c r="H148" s="47" t="s">
        <v>25</v>
      </c>
      <c r="I148" s="47" t="s">
        <v>31</v>
      </c>
      <c r="J148" s="47" t="s">
        <v>27</v>
      </c>
    </row>
    <row r="149" spans="2:11" s="4" customFormat="1" ht="66" customHeight="1" x14ac:dyDescent="0.25">
      <c r="B149" s="43" t="s">
        <v>305</v>
      </c>
      <c r="C149" s="17" t="s">
        <v>292</v>
      </c>
      <c r="D149" s="45">
        <v>111212321</v>
      </c>
      <c r="E149" s="45" t="s">
        <v>32</v>
      </c>
      <c r="F149" s="45">
        <f>11721*0.1</f>
        <v>1172.1000000000001</v>
      </c>
      <c r="G149" s="123"/>
      <c r="H149" s="45">
        <v>1</v>
      </c>
      <c r="I149" s="50">
        <f>F149*G149*H149</f>
        <v>0</v>
      </c>
      <c r="J149" s="77" t="s">
        <v>507</v>
      </c>
    </row>
    <row r="150" spans="2:11" s="4" customFormat="1" ht="45" x14ac:dyDescent="0.25">
      <c r="B150" s="43" t="s">
        <v>271</v>
      </c>
      <c r="C150" s="17" t="s">
        <v>486</v>
      </c>
      <c r="D150" s="45">
        <v>111212322</v>
      </c>
      <c r="E150" s="45" t="s">
        <v>32</v>
      </c>
      <c r="F150" s="45">
        <f>4173*0.1</f>
        <v>417.3</v>
      </c>
      <c r="G150" s="123"/>
      <c r="H150" s="45">
        <v>1</v>
      </c>
      <c r="I150" s="50">
        <f>F150*G150*H150</f>
        <v>0</v>
      </c>
      <c r="J150" s="77" t="s">
        <v>507</v>
      </c>
    </row>
    <row r="151" spans="2:11" s="81" customFormat="1" ht="42.75" x14ac:dyDescent="0.25">
      <c r="B151" s="55" t="s">
        <v>347</v>
      </c>
      <c r="C151" s="17" t="s">
        <v>487</v>
      </c>
      <c r="D151" s="70">
        <v>185811221</v>
      </c>
      <c r="E151" s="76" t="s">
        <v>50</v>
      </c>
      <c r="F151" s="76">
        <f>11721*0.3</f>
        <v>3516.2999999999997</v>
      </c>
      <c r="G151" s="125"/>
      <c r="H151" s="76">
        <v>1</v>
      </c>
      <c r="I151" s="78">
        <f t="shared" ref="I151" si="7">F151*G151*H151</f>
        <v>0</v>
      </c>
      <c r="J151" s="6" t="s">
        <v>484</v>
      </c>
      <c r="K151" s="97"/>
    </row>
    <row r="152" spans="2:11" s="81" customFormat="1" ht="35.25" customHeight="1" x14ac:dyDescent="0.25">
      <c r="B152" s="55" t="s">
        <v>348</v>
      </c>
      <c r="C152" s="36" t="s">
        <v>485</v>
      </c>
      <c r="D152" s="76">
        <v>185811222</v>
      </c>
      <c r="E152" s="76" t="s">
        <v>50</v>
      </c>
      <c r="F152" s="76">
        <f>4173*0.3</f>
        <v>1251.8999999999999</v>
      </c>
      <c r="G152" s="125"/>
      <c r="H152" s="76">
        <v>1</v>
      </c>
      <c r="I152" s="78">
        <f t="shared" ref="I152" si="8">F152*G152*H152</f>
        <v>0</v>
      </c>
      <c r="J152" s="6" t="s">
        <v>484</v>
      </c>
      <c r="K152" s="97"/>
    </row>
    <row r="153" spans="2:11" s="3" customFormat="1" ht="15" customHeight="1" x14ac:dyDescent="0.25">
      <c r="B153" s="138" t="s">
        <v>33</v>
      </c>
      <c r="C153" s="139"/>
      <c r="D153" s="139"/>
      <c r="E153" s="139"/>
      <c r="F153" s="139"/>
      <c r="G153" s="139"/>
      <c r="H153" s="140"/>
      <c r="I153" s="19">
        <f>SUM(I149:I152)</f>
        <v>0</v>
      </c>
      <c r="J153" s="14"/>
    </row>
    <row r="155" spans="2:11" s="57" customFormat="1" ht="15" x14ac:dyDescent="0.25">
      <c r="B155" s="56">
        <v>15</v>
      </c>
      <c r="C155" s="57" t="s">
        <v>284</v>
      </c>
      <c r="D155" s="56"/>
      <c r="E155" s="56"/>
      <c r="F155" s="56"/>
      <c r="G155" s="56"/>
      <c r="H155" s="56"/>
      <c r="I155" s="56"/>
      <c r="J155" s="56"/>
    </row>
    <row r="156" spans="2:11" s="4" customFormat="1" ht="24" customHeight="1" x14ac:dyDescent="0.25">
      <c r="B156" s="7"/>
      <c r="C156" s="141" t="s">
        <v>291</v>
      </c>
      <c r="D156" s="141"/>
      <c r="E156" s="141"/>
      <c r="F156" s="141"/>
      <c r="G156" s="141"/>
      <c r="H156" s="141"/>
      <c r="I156" s="141"/>
      <c r="J156" s="141"/>
    </row>
    <row r="157" spans="2:11" ht="42.75" x14ac:dyDescent="0.2">
      <c r="B157" s="8" t="s">
        <v>0</v>
      </c>
      <c r="C157" s="12" t="s">
        <v>24</v>
      </c>
      <c r="D157" s="47" t="s">
        <v>30</v>
      </c>
      <c r="E157" s="47" t="s">
        <v>48</v>
      </c>
      <c r="F157" s="47" t="s">
        <v>29</v>
      </c>
      <c r="G157" s="47" t="s">
        <v>26</v>
      </c>
      <c r="H157" s="47" t="s">
        <v>25</v>
      </c>
      <c r="I157" s="47" t="s">
        <v>31</v>
      </c>
      <c r="J157" s="47" t="s">
        <v>27</v>
      </c>
    </row>
    <row r="158" spans="2:11" s="4" customFormat="1" ht="28.5" x14ac:dyDescent="0.25">
      <c r="B158" s="43" t="s">
        <v>349</v>
      </c>
      <c r="C158" s="17" t="s">
        <v>156</v>
      </c>
      <c r="D158" s="45">
        <v>184911421</v>
      </c>
      <c r="E158" s="45" t="s">
        <v>50</v>
      </c>
      <c r="F158" s="45">
        <v>163</v>
      </c>
      <c r="G158" s="123"/>
      <c r="H158" s="45">
        <v>0.5</v>
      </c>
      <c r="I158" s="50">
        <f t="shared" ref="I158:I159" si="9">H158*G158*F158</f>
        <v>0</v>
      </c>
      <c r="J158" s="48"/>
    </row>
    <row r="159" spans="2:11" s="4" customFormat="1" ht="16.5" x14ac:dyDescent="0.25">
      <c r="B159" s="43" t="s">
        <v>273</v>
      </c>
      <c r="C159" s="17" t="s">
        <v>159</v>
      </c>
      <c r="D159" s="45">
        <v>103911000</v>
      </c>
      <c r="E159" s="45" t="s">
        <v>95</v>
      </c>
      <c r="F159" s="45">
        <f>163*0.05</f>
        <v>8.15</v>
      </c>
      <c r="G159" s="123"/>
      <c r="H159" s="45">
        <v>0.5</v>
      </c>
      <c r="I159" s="50">
        <f t="shared" si="9"/>
        <v>0</v>
      </c>
      <c r="J159" s="48" t="s">
        <v>160</v>
      </c>
    </row>
    <row r="160" spans="2:11" s="3" customFormat="1" ht="15" customHeight="1" x14ac:dyDescent="0.25">
      <c r="B160" s="138" t="s">
        <v>33</v>
      </c>
      <c r="C160" s="139"/>
      <c r="D160" s="139"/>
      <c r="E160" s="139"/>
      <c r="F160" s="139"/>
      <c r="G160" s="139"/>
      <c r="H160" s="140"/>
      <c r="I160" s="19">
        <f>SUM(I158:I159)</f>
        <v>0</v>
      </c>
      <c r="J160" s="14"/>
    </row>
    <row r="162" spans="2:11" s="57" customFormat="1" ht="15" x14ac:dyDescent="0.25">
      <c r="B162" s="56">
        <v>16</v>
      </c>
      <c r="C162" s="57" t="s">
        <v>290</v>
      </c>
      <c r="D162" s="56"/>
      <c r="E162" s="56"/>
      <c r="F162" s="56"/>
      <c r="G162" s="56"/>
      <c r="H162" s="56"/>
      <c r="I162" s="56"/>
      <c r="J162" s="56"/>
    </row>
    <row r="163" spans="2:11" s="4" customFormat="1" ht="25.5" customHeight="1" x14ac:dyDescent="0.25">
      <c r="B163" s="7"/>
      <c r="C163" s="141" t="s">
        <v>488</v>
      </c>
      <c r="D163" s="141"/>
      <c r="E163" s="141"/>
      <c r="F163" s="141"/>
      <c r="G163" s="141"/>
      <c r="H163" s="141"/>
      <c r="I163" s="141"/>
      <c r="J163" s="141"/>
    </row>
    <row r="164" spans="2:11" ht="42.75" x14ac:dyDescent="0.2">
      <c r="B164" s="8" t="s">
        <v>0</v>
      </c>
      <c r="C164" s="12" t="s">
        <v>24</v>
      </c>
      <c r="D164" s="47" t="s">
        <v>30</v>
      </c>
      <c r="E164" s="47" t="s">
        <v>48</v>
      </c>
      <c r="F164" s="47" t="s">
        <v>29</v>
      </c>
      <c r="G164" s="47" t="s">
        <v>26</v>
      </c>
      <c r="H164" s="47" t="s">
        <v>25</v>
      </c>
      <c r="I164" s="47" t="s">
        <v>31</v>
      </c>
      <c r="J164" s="47" t="s">
        <v>27</v>
      </c>
    </row>
    <row r="165" spans="2:11" s="4" customFormat="1" ht="42.75" x14ac:dyDescent="0.25">
      <c r="B165" s="43" t="s">
        <v>306</v>
      </c>
      <c r="C165" s="17" t="s">
        <v>286</v>
      </c>
      <c r="D165" s="45">
        <v>111111321</v>
      </c>
      <c r="E165" s="45" t="s">
        <v>50</v>
      </c>
      <c r="F165" s="45">
        <v>278</v>
      </c>
      <c r="G165" s="123"/>
      <c r="H165" s="45">
        <v>0.25</v>
      </c>
      <c r="I165" s="50">
        <f>H165*G165*F165</f>
        <v>0</v>
      </c>
      <c r="J165" s="77" t="s">
        <v>490</v>
      </c>
    </row>
    <row r="166" spans="2:11" s="4" customFormat="1" ht="28.5" x14ac:dyDescent="0.25">
      <c r="B166" s="43" t="s">
        <v>307</v>
      </c>
      <c r="C166" s="17" t="s">
        <v>492</v>
      </c>
      <c r="D166" s="70">
        <v>183403113</v>
      </c>
      <c r="E166" s="70" t="s">
        <v>50</v>
      </c>
      <c r="F166" s="70">
        <v>278</v>
      </c>
      <c r="G166" s="123"/>
      <c r="H166" s="70">
        <v>0.25</v>
      </c>
      <c r="I166" s="73">
        <f t="shared" ref="I166:I171" si="10">H166*G166*F166</f>
        <v>0</v>
      </c>
      <c r="J166" s="77" t="s">
        <v>490</v>
      </c>
    </row>
    <row r="167" spans="2:11" s="4" customFormat="1" ht="28.5" x14ac:dyDescent="0.25">
      <c r="B167" s="43" t="s">
        <v>308</v>
      </c>
      <c r="C167" s="17" t="s">
        <v>493</v>
      </c>
      <c r="D167" s="70">
        <v>183403153</v>
      </c>
      <c r="E167" s="70" t="s">
        <v>50</v>
      </c>
      <c r="F167" s="70">
        <v>278</v>
      </c>
      <c r="G167" s="123"/>
      <c r="H167" s="70">
        <v>0.25</v>
      </c>
      <c r="I167" s="73">
        <f t="shared" si="10"/>
        <v>0</v>
      </c>
      <c r="J167" s="77" t="s">
        <v>490</v>
      </c>
    </row>
    <row r="168" spans="2:11" s="4" customFormat="1" ht="59.25" x14ac:dyDescent="0.25">
      <c r="B168" s="43" t="s">
        <v>309</v>
      </c>
      <c r="C168" s="17" t="s">
        <v>494</v>
      </c>
      <c r="D168" s="70">
        <v>184802111</v>
      </c>
      <c r="E168" s="70" t="s">
        <v>50</v>
      </c>
      <c r="F168" s="70">
        <v>278</v>
      </c>
      <c r="G168" s="123"/>
      <c r="H168" s="70">
        <v>0.25</v>
      </c>
      <c r="I168" s="73">
        <f t="shared" si="10"/>
        <v>0</v>
      </c>
      <c r="J168" s="77" t="s">
        <v>490</v>
      </c>
    </row>
    <row r="169" spans="2:11" s="81" customFormat="1" ht="45" x14ac:dyDescent="0.25">
      <c r="B169" s="43" t="s">
        <v>310</v>
      </c>
      <c r="C169" s="36" t="s">
        <v>491</v>
      </c>
      <c r="D169" s="76">
        <v>181411131</v>
      </c>
      <c r="E169" s="76" t="s">
        <v>50</v>
      </c>
      <c r="F169" s="76">
        <v>278</v>
      </c>
      <c r="G169" s="125"/>
      <c r="H169" s="76">
        <v>0.25</v>
      </c>
      <c r="I169" s="78">
        <f t="shared" si="10"/>
        <v>0</v>
      </c>
      <c r="J169" s="6" t="s">
        <v>490</v>
      </c>
    </row>
    <row r="170" spans="2:11" s="81" customFormat="1" ht="16.5" x14ac:dyDescent="0.25">
      <c r="B170" s="43" t="s">
        <v>497</v>
      </c>
      <c r="C170" s="36" t="s">
        <v>178</v>
      </c>
      <c r="D170" s="76" t="s">
        <v>179</v>
      </c>
      <c r="E170" s="76" t="s">
        <v>57</v>
      </c>
      <c r="F170" s="76">
        <f>(F165*30)/1000</f>
        <v>8.34</v>
      </c>
      <c r="G170" s="125"/>
      <c r="H170" s="76">
        <v>0.25</v>
      </c>
      <c r="I170" s="78">
        <f t="shared" si="10"/>
        <v>0</v>
      </c>
      <c r="J170" s="6" t="s">
        <v>496</v>
      </c>
    </row>
    <row r="171" spans="2:11" s="81" customFormat="1" ht="28.5" x14ac:dyDescent="0.25">
      <c r="B171" s="43" t="s">
        <v>498</v>
      </c>
      <c r="C171" s="36" t="s">
        <v>495</v>
      </c>
      <c r="D171" s="76">
        <v>185803211</v>
      </c>
      <c r="E171" s="76" t="s">
        <v>50</v>
      </c>
      <c r="F171" s="76">
        <v>278</v>
      </c>
      <c r="G171" s="125"/>
      <c r="H171" s="76">
        <v>0.25</v>
      </c>
      <c r="I171" s="78">
        <f t="shared" si="10"/>
        <v>0</v>
      </c>
      <c r="J171" s="6" t="s">
        <v>490</v>
      </c>
    </row>
    <row r="172" spans="2:11" s="4" customFormat="1" ht="57.75" x14ac:dyDescent="0.25">
      <c r="B172" s="43" t="s">
        <v>499</v>
      </c>
      <c r="C172" s="17" t="s">
        <v>489</v>
      </c>
      <c r="D172" s="70">
        <v>111151121</v>
      </c>
      <c r="E172" s="70" t="s">
        <v>50</v>
      </c>
      <c r="F172" s="70">
        <v>278</v>
      </c>
      <c r="G172" s="123"/>
      <c r="H172" s="70">
        <v>5</v>
      </c>
      <c r="I172" s="73">
        <f>F172*G172*H172</f>
        <v>0</v>
      </c>
      <c r="J172" s="77" t="s">
        <v>478</v>
      </c>
    </row>
    <row r="173" spans="2:11" s="4" customFormat="1" ht="28.5" x14ac:dyDescent="0.25">
      <c r="B173" s="43" t="s">
        <v>500</v>
      </c>
      <c r="C173" s="17" t="s">
        <v>220</v>
      </c>
      <c r="D173" s="70" t="s">
        <v>56</v>
      </c>
      <c r="E173" s="70" t="s">
        <v>42</v>
      </c>
      <c r="F173" s="70">
        <v>0.25</v>
      </c>
      <c r="G173" s="123"/>
      <c r="H173" s="70">
        <v>5</v>
      </c>
      <c r="I173" s="73">
        <f>F173*G173*H173</f>
        <v>0</v>
      </c>
      <c r="J173" s="70"/>
    </row>
    <row r="174" spans="2:11" s="4" customFormat="1" ht="42.75" x14ac:dyDescent="0.25">
      <c r="B174" s="43" t="s">
        <v>501</v>
      </c>
      <c r="C174" s="17" t="s">
        <v>70</v>
      </c>
      <c r="D174" s="70">
        <v>185811211</v>
      </c>
      <c r="E174" s="70" t="s">
        <v>50</v>
      </c>
      <c r="F174" s="70">
        <f>F172*0.3</f>
        <v>83.399999999999991</v>
      </c>
      <c r="G174" s="123"/>
      <c r="H174" s="70">
        <v>1</v>
      </c>
      <c r="I174" s="73">
        <f t="shared" ref="I174" si="11">F174*G174*H174</f>
        <v>0</v>
      </c>
      <c r="J174" s="6" t="s">
        <v>480</v>
      </c>
      <c r="K174" s="136"/>
    </row>
    <row r="175" spans="2:11" s="4" customFormat="1" ht="71.25" x14ac:dyDescent="0.25">
      <c r="B175" s="43" t="s">
        <v>502</v>
      </c>
      <c r="C175" s="17" t="s">
        <v>62</v>
      </c>
      <c r="D175" s="70">
        <v>183451411</v>
      </c>
      <c r="E175" s="70" t="s">
        <v>50</v>
      </c>
      <c r="F175" s="70">
        <f>F172</f>
        <v>278</v>
      </c>
      <c r="G175" s="123"/>
      <c r="H175" s="70">
        <v>0.5</v>
      </c>
      <c r="I175" s="73">
        <f>F175*G175*H175</f>
        <v>0</v>
      </c>
      <c r="J175" s="6" t="s">
        <v>479</v>
      </c>
      <c r="K175" s="136"/>
    </row>
    <row r="176" spans="2:11" s="4" customFormat="1" ht="57" x14ac:dyDescent="0.25">
      <c r="B176" s="43" t="s">
        <v>503</v>
      </c>
      <c r="C176" s="17" t="s">
        <v>107</v>
      </c>
      <c r="D176" s="70">
        <v>183451311</v>
      </c>
      <c r="E176" s="70" t="s">
        <v>50</v>
      </c>
      <c r="F176" s="70">
        <f>F172</f>
        <v>278</v>
      </c>
      <c r="G176" s="123"/>
      <c r="H176" s="70">
        <v>0.5</v>
      </c>
      <c r="I176" s="73">
        <f>F176*G176*H176</f>
        <v>0</v>
      </c>
      <c r="J176" s="6" t="s">
        <v>481</v>
      </c>
      <c r="K176" s="136"/>
    </row>
    <row r="177" spans="2:11" s="4" customFormat="1" ht="73.5" x14ac:dyDescent="0.25">
      <c r="B177" s="43" t="s">
        <v>504</v>
      </c>
      <c r="C177" s="29" t="s">
        <v>75</v>
      </c>
      <c r="D177" s="75">
        <v>185802113</v>
      </c>
      <c r="E177" s="75" t="s">
        <v>37</v>
      </c>
      <c r="F177" s="70">
        <f>(F172*20)/1000000</f>
        <v>5.5599999999999998E-3</v>
      </c>
      <c r="G177" s="123"/>
      <c r="H177" s="70">
        <v>1</v>
      </c>
      <c r="I177" s="73">
        <f>F177*G177*H177</f>
        <v>0</v>
      </c>
      <c r="J177" s="77" t="s">
        <v>482</v>
      </c>
      <c r="K177" s="40"/>
    </row>
    <row r="178" spans="2:11" s="4" customFormat="1" ht="18.75" customHeight="1" x14ac:dyDescent="0.2">
      <c r="B178" s="43" t="s">
        <v>505</v>
      </c>
      <c r="C178" s="2" t="s">
        <v>83</v>
      </c>
      <c r="D178" s="35">
        <v>251911550</v>
      </c>
      <c r="E178" s="70" t="s">
        <v>57</v>
      </c>
      <c r="F178" s="70">
        <f>(F172*20)/1000</f>
        <v>5.56</v>
      </c>
      <c r="G178" s="123"/>
      <c r="H178" s="70">
        <v>1</v>
      </c>
      <c r="I178" s="73">
        <f>F178*G178*H178</f>
        <v>0</v>
      </c>
      <c r="J178" s="70"/>
      <c r="K178" s="80"/>
    </row>
    <row r="179" spans="2:11" s="3" customFormat="1" ht="15" customHeight="1" x14ac:dyDescent="0.25">
      <c r="B179" s="138" t="s">
        <v>33</v>
      </c>
      <c r="C179" s="139"/>
      <c r="D179" s="139"/>
      <c r="E179" s="139"/>
      <c r="F179" s="139"/>
      <c r="G179" s="139"/>
      <c r="H179" s="140"/>
      <c r="I179" s="19">
        <f>SUM(I165:I178)</f>
        <v>0</v>
      </c>
      <c r="J179" s="14"/>
    </row>
    <row r="181" spans="2:11" s="59" customFormat="1" ht="15" x14ac:dyDescent="0.25">
      <c r="B181" s="56">
        <v>17</v>
      </c>
      <c r="C181" s="57" t="s">
        <v>55</v>
      </c>
      <c r="D181" s="120" t="s">
        <v>574</v>
      </c>
      <c r="E181" s="56"/>
      <c r="F181" s="56"/>
      <c r="G181" s="56"/>
      <c r="H181" s="58"/>
      <c r="I181" s="58"/>
      <c r="J181" s="58"/>
    </row>
    <row r="183" spans="2:11" s="59" customFormat="1" ht="15" x14ac:dyDescent="0.25">
      <c r="B183" s="56">
        <v>18</v>
      </c>
      <c r="C183" s="57" t="s">
        <v>86</v>
      </c>
      <c r="D183" s="56"/>
      <c r="E183" s="56"/>
      <c r="F183" s="56"/>
      <c r="G183" s="56"/>
      <c r="H183" s="58"/>
      <c r="I183" s="58"/>
      <c r="J183" s="58"/>
    </row>
    <row r="184" spans="2:11" s="4" customFormat="1" ht="41.25" customHeight="1" x14ac:dyDescent="0.25">
      <c r="B184" s="7"/>
      <c r="C184" s="141" t="s">
        <v>279</v>
      </c>
      <c r="D184" s="141"/>
      <c r="E184" s="141"/>
      <c r="F184" s="141"/>
      <c r="G184" s="141"/>
      <c r="H184" s="141"/>
      <c r="I184" s="141"/>
      <c r="J184" s="141"/>
    </row>
    <row r="185" spans="2:11" ht="42.75" x14ac:dyDescent="0.2">
      <c r="B185" s="8" t="s">
        <v>0</v>
      </c>
      <c r="C185" s="12" t="s">
        <v>24</v>
      </c>
      <c r="D185" s="47" t="s">
        <v>30</v>
      </c>
      <c r="E185" s="47" t="s">
        <v>48</v>
      </c>
      <c r="F185" s="47" t="s">
        <v>29</v>
      </c>
      <c r="G185" s="47" t="s">
        <v>26</v>
      </c>
      <c r="H185" s="47" t="s">
        <v>25</v>
      </c>
      <c r="I185" s="47" t="s">
        <v>31</v>
      </c>
      <c r="J185" s="47" t="s">
        <v>27</v>
      </c>
    </row>
    <row r="186" spans="2:11" s="4" customFormat="1" ht="36.75" customHeight="1" x14ac:dyDescent="0.25">
      <c r="B186" s="43" t="s">
        <v>350</v>
      </c>
      <c r="C186" s="17" t="s">
        <v>192</v>
      </c>
      <c r="D186" s="45" t="s">
        <v>84</v>
      </c>
      <c r="E186" s="45" t="s">
        <v>39</v>
      </c>
      <c r="F186" s="45">
        <v>29</v>
      </c>
      <c r="G186" s="123"/>
      <c r="H186" s="45">
        <v>28</v>
      </c>
      <c r="I186" s="50">
        <f>H186*G186*F186</f>
        <v>0</v>
      </c>
      <c r="J186" s="45" t="s">
        <v>117</v>
      </c>
    </row>
    <row r="187" spans="2:11" s="4" customFormat="1" ht="36.75" customHeight="1" x14ac:dyDescent="0.25">
      <c r="B187" s="43" t="s">
        <v>351</v>
      </c>
      <c r="C187" s="17" t="s">
        <v>277</v>
      </c>
      <c r="D187" s="45" t="s">
        <v>84</v>
      </c>
      <c r="E187" s="45" t="s">
        <v>39</v>
      </c>
      <c r="F187" s="45">
        <v>19</v>
      </c>
      <c r="G187" s="123"/>
      <c r="H187" s="45">
        <v>2</v>
      </c>
      <c r="I187" s="50">
        <f>H187*G187*F187</f>
        <v>0</v>
      </c>
      <c r="J187" s="45" t="s">
        <v>280</v>
      </c>
    </row>
    <row r="188" spans="2:11" s="4" customFormat="1" ht="42.75" x14ac:dyDescent="0.25">
      <c r="B188" s="43" t="s">
        <v>352</v>
      </c>
      <c r="C188" s="17" t="s">
        <v>116</v>
      </c>
      <c r="D188" s="45" t="s">
        <v>56</v>
      </c>
      <c r="E188" s="45" t="s">
        <v>42</v>
      </c>
      <c r="F188" s="45">
        <v>3</v>
      </c>
      <c r="G188" s="123"/>
      <c r="H188" s="45">
        <v>24</v>
      </c>
      <c r="I188" s="50">
        <f>H188*G188*F188</f>
        <v>0</v>
      </c>
      <c r="J188" s="48" t="s">
        <v>113</v>
      </c>
    </row>
    <row r="189" spans="2:11" s="4" customFormat="1" ht="36.75" customHeight="1" x14ac:dyDescent="0.25">
      <c r="B189" s="43" t="s">
        <v>353</v>
      </c>
      <c r="C189" s="17" t="s">
        <v>278</v>
      </c>
      <c r="D189" s="45" t="s">
        <v>84</v>
      </c>
      <c r="E189" s="45" t="s">
        <v>39</v>
      </c>
      <c r="F189" s="45">
        <v>16</v>
      </c>
      <c r="G189" s="123"/>
      <c r="H189" s="45">
        <v>2</v>
      </c>
      <c r="I189" s="50">
        <f>H189*G189*F189</f>
        <v>0</v>
      </c>
      <c r="J189" s="45"/>
    </row>
    <row r="190" spans="2:11" s="4" customFormat="1" ht="57" x14ac:dyDescent="0.25">
      <c r="B190" s="43" t="s">
        <v>354</v>
      </c>
      <c r="C190" s="17" t="s">
        <v>213</v>
      </c>
      <c r="D190" s="70" t="s">
        <v>56</v>
      </c>
      <c r="E190" s="70" t="s">
        <v>95</v>
      </c>
      <c r="F190" s="70">
        <v>30</v>
      </c>
      <c r="G190" s="123"/>
      <c r="H190" s="70">
        <v>1</v>
      </c>
      <c r="I190" s="73">
        <f>H190*G190*F190</f>
        <v>0</v>
      </c>
      <c r="J190" s="77" t="s">
        <v>506</v>
      </c>
    </row>
    <row r="191" spans="2:11" s="3" customFormat="1" ht="15" customHeight="1" x14ac:dyDescent="0.25">
      <c r="B191" s="138" t="s">
        <v>33</v>
      </c>
      <c r="C191" s="139"/>
      <c r="D191" s="139"/>
      <c r="E191" s="139"/>
      <c r="F191" s="139"/>
      <c r="G191" s="139"/>
      <c r="H191" s="140"/>
      <c r="I191" s="19">
        <f>SUM(I186:I190)</f>
        <v>0</v>
      </c>
      <c r="J191" s="14"/>
    </row>
  </sheetData>
  <sheetProtection algorithmName="SHA-512" hashValue="0f3gXMGfhl8iteGdMrs/opeeK2bz262XTYUNbrEX9QuQ1c+ND3loWBtDV1EfjNpKoUc9uFZOHymzvIn93notCw==" saltValue="9E4QNvGYUElwL9iIWdqpTg==" spinCount="100000" sheet="1" objects="1" scenarios="1"/>
  <mergeCells count="82">
    <mergeCell ref="K174:K176"/>
    <mergeCell ref="C19:D19"/>
    <mergeCell ref="G19:J19"/>
    <mergeCell ref="C121:J121"/>
    <mergeCell ref="K125:K127"/>
    <mergeCell ref="B130:H130"/>
    <mergeCell ref="C47:J47"/>
    <mergeCell ref="B52:H52"/>
    <mergeCell ref="C26:D26"/>
    <mergeCell ref="B27:F27"/>
    <mergeCell ref="G27:J27"/>
    <mergeCell ref="C20:D20"/>
    <mergeCell ref="G20:J20"/>
    <mergeCell ref="C21:D21"/>
    <mergeCell ref="G21:J21"/>
    <mergeCell ref="C22:D22"/>
    <mergeCell ref="C10:D10"/>
    <mergeCell ref="G10:J10"/>
    <mergeCell ref="C12:D12"/>
    <mergeCell ref="G12:J12"/>
    <mergeCell ref="B4:C4"/>
    <mergeCell ref="D4:J4"/>
    <mergeCell ref="B5:J5"/>
    <mergeCell ref="C8:D8"/>
    <mergeCell ref="G8:J8"/>
    <mergeCell ref="C9:D9"/>
    <mergeCell ref="G9:J9"/>
    <mergeCell ref="C11:D11"/>
    <mergeCell ref="G11:J11"/>
    <mergeCell ref="C13:D13"/>
    <mergeCell ref="G13:J13"/>
    <mergeCell ref="C14:D14"/>
    <mergeCell ref="G14:J14"/>
    <mergeCell ref="C15:D15"/>
    <mergeCell ref="G15:J15"/>
    <mergeCell ref="C16:D16"/>
    <mergeCell ref="G16:J16"/>
    <mergeCell ref="C17:D17"/>
    <mergeCell ref="G17:J17"/>
    <mergeCell ref="C18:D18"/>
    <mergeCell ref="G18:J18"/>
    <mergeCell ref="G22:J22"/>
    <mergeCell ref="C23:D23"/>
    <mergeCell ref="C24:D24"/>
    <mergeCell ref="G23:J23"/>
    <mergeCell ref="G24:J24"/>
    <mergeCell ref="G25:J25"/>
    <mergeCell ref="C25:D25"/>
    <mergeCell ref="C79:J79"/>
    <mergeCell ref="B28:F28"/>
    <mergeCell ref="G28:J28"/>
    <mergeCell ref="C33:J33"/>
    <mergeCell ref="B36:H36"/>
    <mergeCell ref="C63:J63"/>
    <mergeCell ref="B68:H68"/>
    <mergeCell ref="B44:H44"/>
    <mergeCell ref="C71:J71"/>
    <mergeCell ref="B76:H76"/>
    <mergeCell ref="C163:J163"/>
    <mergeCell ref="B179:H179"/>
    <mergeCell ref="C147:J147"/>
    <mergeCell ref="B153:H153"/>
    <mergeCell ref="C133:J133"/>
    <mergeCell ref="B138:H138"/>
    <mergeCell ref="C141:J141"/>
    <mergeCell ref="B144:H144"/>
    <mergeCell ref="K113:K115"/>
    <mergeCell ref="G26:J26"/>
    <mergeCell ref="B86:H86"/>
    <mergeCell ref="C184:J184"/>
    <mergeCell ref="B191:H191"/>
    <mergeCell ref="C98:J98"/>
    <mergeCell ref="B106:H106"/>
    <mergeCell ref="C109:J109"/>
    <mergeCell ref="B118:H118"/>
    <mergeCell ref="C55:J55"/>
    <mergeCell ref="B60:H60"/>
    <mergeCell ref="C89:J89"/>
    <mergeCell ref="B95:H95"/>
    <mergeCell ref="C39:J39"/>
    <mergeCell ref="C156:J156"/>
    <mergeCell ref="B160:H160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0" orientation="portrait" r:id="rId1"/>
  <headerFooter>
    <oddHeader>&amp;CPLÁN ÚDRŽBY NA POZEMCÍCH SPRÁVY KRNAP VE VRCHLABÍ</oddHeader>
  </headerFooter>
  <rowBreaks count="4" manualBreakCount="4">
    <brk id="50" min="1" max="9" man="1"/>
    <brk id="87" min="1" max="9" man="1"/>
    <brk id="126" min="1" max="9" man="1"/>
    <brk id="166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43"/>
  <sheetViews>
    <sheetView zoomScale="80" zoomScaleNormal="80" zoomScaleSheetLayoutView="100" workbookViewId="0">
      <selection activeCell="G74" sqref="G74"/>
    </sheetView>
  </sheetViews>
  <sheetFormatPr defaultRowHeight="14.25" x14ac:dyDescent="0.2"/>
  <cols>
    <col min="1" max="1" width="9.140625" style="1"/>
    <col min="2" max="2" width="9.140625" style="9"/>
    <col min="3" max="3" width="36.5703125" style="1" customWidth="1"/>
    <col min="4" max="4" width="13" style="9" customWidth="1"/>
    <col min="5" max="5" width="6.5703125" style="9" customWidth="1"/>
    <col min="6" max="6" width="11.28515625" style="9" customWidth="1"/>
    <col min="7" max="7" width="13.7109375" style="9" customWidth="1"/>
    <col min="8" max="8" width="11" style="9" customWidth="1"/>
    <col min="9" max="9" width="15.140625" style="9" customWidth="1"/>
    <col min="10" max="10" width="33.42578125" style="9" customWidth="1"/>
    <col min="11" max="13" width="9.140625" style="1"/>
    <col min="14" max="14" width="21" style="1" customWidth="1"/>
    <col min="15" max="15" width="26.7109375" style="1" customWidth="1"/>
    <col min="16" max="16384" width="9.140625" style="1"/>
  </cols>
  <sheetData>
    <row r="2" spans="2:10" ht="27" customHeight="1" x14ac:dyDescent="0.25">
      <c r="B2" s="16" t="s">
        <v>52</v>
      </c>
      <c r="C2" s="10"/>
    </row>
    <row r="3" spans="2:10" ht="17.25" customHeight="1" x14ac:dyDescent="0.25">
      <c r="C3" s="10"/>
    </row>
    <row r="4" spans="2:10" ht="18" x14ac:dyDescent="0.25">
      <c r="B4" s="152" t="s">
        <v>54</v>
      </c>
      <c r="C4" s="152"/>
      <c r="D4" s="153">
        <v>2</v>
      </c>
      <c r="E4" s="153"/>
      <c r="F4" s="153"/>
      <c r="G4" s="153"/>
      <c r="H4" s="153"/>
      <c r="I4" s="153"/>
      <c r="J4" s="153"/>
    </row>
    <row r="5" spans="2:10" ht="34.5" customHeight="1" x14ac:dyDescent="0.2">
      <c r="B5" s="154" t="s">
        <v>239</v>
      </c>
      <c r="C5" s="155"/>
      <c r="D5" s="155"/>
      <c r="E5" s="155"/>
      <c r="F5" s="155"/>
      <c r="G5" s="155"/>
      <c r="H5" s="155"/>
      <c r="I5" s="155"/>
      <c r="J5" s="156"/>
    </row>
    <row r="7" spans="2:10" ht="15" x14ac:dyDescent="0.25">
      <c r="B7" s="15" t="s">
        <v>152</v>
      </c>
      <c r="C7" s="3"/>
      <c r="D7" s="1"/>
      <c r="E7" s="1"/>
      <c r="F7" s="1"/>
      <c r="G7" s="1"/>
      <c r="H7" s="1"/>
      <c r="I7" s="1"/>
      <c r="J7" s="1"/>
    </row>
    <row r="8" spans="2:10" s="4" customFormat="1" ht="19.5" customHeight="1" x14ac:dyDescent="0.25">
      <c r="B8" s="8" t="s">
        <v>53</v>
      </c>
      <c r="C8" s="176" t="s">
        <v>14</v>
      </c>
      <c r="D8" s="177"/>
      <c r="E8" s="8" t="s">
        <v>48</v>
      </c>
      <c r="F8" s="49" t="s">
        <v>49</v>
      </c>
      <c r="G8" s="158" t="s">
        <v>51</v>
      </c>
      <c r="H8" s="158"/>
      <c r="I8" s="158"/>
      <c r="J8" s="158"/>
    </row>
    <row r="9" spans="2:10" x14ac:dyDescent="0.2">
      <c r="B9" s="46">
        <v>1</v>
      </c>
      <c r="C9" s="151" t="s">
        <v>47</v>
      </c>
      <c r="D9" s="151"/>
      <c r="E9" s="45" t="s">
        <v>39</v>
      </c>
      <c r="F9" s="99">
        <v>13</v>
      </c>
      <c r="G9" s="161">
        <f>I33</f>
        <v>0</v>
      </c>
      <c r="H9" s="161"/>
      <c r="I9" s="161"/>
      <c r="J9" s="161"/>
    </row>
    <row r="10" spans="2:10" x14ac:dyDescent="0.2">
      <c r="B10" s="46">
        <v>2</v>
      </c>
      <c r="C10" s="151" t="s">
        <v>247</v>
      </c>
      <c r="D10" s="151"/>
      <c r="E10" s="45" t="s">
        <v>39</v>
      </c>
      <c r="F10" s="99">
        <v>4</v>
      </c>
      <c r="G10" s="161">
        <f>I41</f>
        <v>0</v>
      </c>
      <c r="H10" s="161"/>
      <c r="I10" s="161"/>
      <c r="J10" s="161"/>
    </row>
    <row r="11" spans="2:10" x14ac:dyDescent="0.2">
      <c r="B11" s="46">
        <v>3</v>
      </c>
      <c r="C11" s="151" t="s">
        <v>256</v>
      </c>
      <c r="D11" s="151"/>
      <c r="E11" s="45" t="s">
        <v>39</v>
      </c>
      <c r="F11" s="99">
        <v>4</v>
      </c>
      <c r="G11" s="161">
        <f>I48</f>
        <v>0</v>
      </c>
      <c r="H11" s="161"/>
      <c r="I11" s="161"/>
      <c r="J11" s="161"/>
    </row>
    <row r="12" spans="2:10" ht="16.5" x14ac:dyDescent="0.2">
      <c r="B12" s="46">
        <v>4</v>
      </c>
      <c r="C12" s="151" t="s">
        <v>1</v>
      </c>
      <c r="D12" s="151"/>
      <c r="E12" s="45" t="s">
        <v>50</v>
      </c>
      <c r="F12" s="99">
        <v>163.5</v>
      </c>
      <c r="G12" s="161">
        <f>I55</f>
        <v>0</v>
      </c>
      <c r="H12" s="161"/>
      <c r="I12" s="161"/>
      <c r="J12" s="161"/>
    </row>
    <row r="13" spans="2:10" ht="16.5" x14ac:dyDescent="0.2">
      <c r="B13" s="46">
        <v>5</v>
      </c>
      <c r="C13" s="151" t="s">
        <v>4</v>
      </c>
      <c r="D13" s="151"/>
      <c r="E13" s="45" t="s">
        <v>50</v>
      </c>
      <c r="F13" s="99">
        <v>150</v>
      </c>
      <c r="G13" s="161">
        <f>I62</f>
        <v>0</v>
      </c>
      <c r="H13" s="161"/>
      <c r="I13" s="161"/>
      <c r="J13" s="161"/>
    </row>
    <row r="14" spans="2:10" ht="16.5" x14ac:dyDescent="0.2">
      <c r="B14" s="46">
        <v>6</v>
      </c>
      <c r="C14" s="151" t="s">
        <v>5</v>
      </c>
      <c r="D14" s="151"/>
      <c r="E14" s="45" t="s">
        <v>32</v>
      </c>
      <c r="F14" s="99">
        <v>18</v>
      </c>
      <c r="G14" s="161">
        <f>I69</f>
        <v>0</v>
      </c>
      <c r="H14" s="161"/>
      <c r="I14" s="161"/>
      <c r="J14" s="161"/>
    </row>
    <row r="15" spans="2:10" s="4" customFormat="1" ht="16.5" customHeight="1" x14ac:dyDescent="0.25">
      <c r="B15" s="68">
        <v>7</v>
      </c>
      <c r="C15" s="171" t="s">
        <v>578</v>
      </c>
      <c r="D15" s="172"/>
      <c r="E15" s="68" t="s">
        <v>50</v>
      </c>
      <c r="F15" s="100">
        <v>24.5</v>
      </c>
      <c r="G15" s="173">
        <f>I82</f>
        <v>0</v>
      </c>
      <c r="H15" s="174"/>
      <c r="I15" s="174"/>
      <c r="J15" s="175"/>
    </row>
    <row r="16" spans="2:10" ht="16.5" x14ac:dyDescent="0.2">
      <c r="B16" s="46">
        <v>8</v>
      </c>
      <c r="C16" s="166" t="s">
        <v>9</v>
      </c>
      <c r="D16" s="167"/>
      <c r="E16" s="45" t="s">
        <v>32</v>
      </c>
      <c r="F16" s="99">
        <v>21</v>
      </c>
      <c r="G16" s="168">
        <f>I93</f>
        <v>0</v>
      </c>
      <c r="H16" s="169"/>
      <c r="I16" s="169"/>
      <c r="J16" s="170"/>
    </row>
    <row r="17" spans="2:10" ht="16.5" x14ac:dyDescent="0.2">
      <c r="B17" s="46">
        <v>9</v>
      </c>
      <c r="C17" s="166" t="s">
        <v>10</v>
      </c>
      <c r="D17" s="167"/>
      <c r="E17" s="45" t="s">
        <v>50</v>
      </c>
      <c r="F17" s="99">
        <v>207</v>
      </c>
      <c r="G17" s="161" t="s">
        <v>574</v>
      </c>
      <c r="H17" s="161"/>
      <c r="I17" s="161"/>
      <c r="J17" s="161"/>
    </row>
    <row r="18" spans="2:10" ht="16.5" x14ac:dyDescent="0.2">
      <c r="B18" s="46">
        <v>10</v>
      </c>
      <c r="C18" s="166" t="s">
        <v>257</v>
      </c>
      <c r="D18" s="167"/>
      <c r="E18" s="45" t="s">
        <v>241</v>
      </c>
      <c r="F18" s="94">
        <v>120</v>
      </c>
      <c r="G18" s="161">
        <f>I103</f>
        <v>0</v>
      </c>
      <c r="H18" s="161"/>
      <c r="I18" s="161"/>
      <c r="J18" s="161"/>
    </row>
    <row r="19" spans="2:10" ht="16.5" x14ac:dyDescent="0.2">
      <c r="B19" s="46">
        <v>11</v>
      </c>
      <c r="C19" s="166" t="s">
        <v>35</v>
      </c>
      <c r="D19" s="167"/>
      <c r="E19" s="45" t="s">
        <v>50</v>
      </c>
      <c r="F19" s="94">
        <v>4857</v>
      </c>
      <c r="G19" s="161">
        <f>I115</f>
        <v>0</v>
      </c>
      <c r="H19" s="161"/>
      <c r="I19" s="161"/>
      <c r="J19" s="161"/>
    </row>
    <row r="20" spans="2:10" ht="16.5" x14ac:dyDescent="0.2">
      <c r="B20" s="46">
        <v>12</v>
      </c>
      <c r="C20" s="166" t="s">
        <v>34</v>
      </c>
      <c r="D20" s="167"/>
      <c r="E20" s="45" t="s">
        <v>241</v>
      </c>
      <c r="F20" s="94">
        <v>114</v>
      </c>
      <c r="G20" s="161">
        <f>I121</f>
        <v>0</v>
      </c>
      <c r="H20" s="161"/>
      <c r="I20" s="161"/>
      <c r="J20" s="161"/>
    </row>
    <row r="21" spans="2:10" ht="16.5" x14ac:dyDescent="0.2">
      <c r="B21" s="46">
        <v>13</v>
      </c>
      <c r="C21" s="166" t="s">
        <v>248</v>
      </c>
      <c r="D21" s="167"/>
      <c r="E21" s="45" t="s">
        <v>50</v>
      </c>
      <c r="F21" s="94">
        <v>1</v>
      </c>
      <c r="G21" s="161">
        <f>I127</f>
        <v>0</v>
      </c>
      <c r="H21" s="161"/>
      <c r="I21" s="161"/>
      <c r="J21" s="161"/>
    </row>
    <row r="22" spans="2:10" ht="16.5" x14ac:dyDescent="0.2">
      <c r="B22" s="46">
        <v>14</v>
      </c>
      <c r="C22" s="166" t="s">
        <v>55</v>
      </c>
      <c r="D22" s="167"/>
      <c r="E22" s="45" t="s">
        <v>241</v>
      </c>
      <c r="F22" s="94">
        <v>1284</v>
      </c>
      <c r="G22" s="161">
        <f>I134</f>
        <v>0</v>
      </c>
      <c r="H22" s="161"/>
      <c r="I22" s="161"/>
      <c r="J22" s="161"/>
    </row>
    <row r="23" spans="2:10" x14ac:dyDescent="0.2">
      <c r="B23" s="46">
        <v>15</v>
      </c>
      <c r="C23" s="166" t="s">
        <v>86</v>
      </c>
      <c r="D23" s="167"/>
      <c r="E23" s="45" t="s">
        <v>194</v>
      </c>
      <c r="F23" s="94">
        <v>1</v>
      </c>
      <c r="G23" s="161">
        <f>I143</f>
        <v>0</v>
      </c>
      <c r="H23" s="161"/>
      <c r="I23" s="161"/>
      <c r="J23" s="161"/>
    </row>
    <row r="24" spans="2:10" s="3" customFormat="1" ht="21.95" customHeight="1" x14ac:dyDescent="0.25">
      <c r="B24" s="145" t="s">
        <v>153</v>
      </c>
      <c r="C24" s="146"/>
      <c r="D24" s="146"/>
      <c r="E24" s="146"/>
      <c r="F24" s="147"/>
      <c r="G24" s="162">
        <f>SUM(G9:G23)</f>
        <v>0</v>
      </c>
      <c r="H24" s="163"/>
      <c r="I24" s="163"/>
      <c r="J24" s="164"/>
    </row>
    <row r="25" spans="2:10" s="3" customFormat="1" ht="21.95" customHeight="1" x14ac:dyDescent="0.25">
      <c r="B25" s="145" t="s">
        <v>154</v>
      </c>
      <c r="C25" s="146"/>
      <c r="D25" s="146"/>
      <c r="E25" s="146"/>
      <c r="F25" s="147"/>
      <c r="G25" s="162">
        <f>G24*4</f>
        <v>0</v>
      </c>
      <c r="H25" s="163"/>
      <c r="I25" s="163"/>
      <c r="J25" s="164"/>
    </row>
    <row r="26" spans="2:10" x14ac:dyDescent="0.2">
      <c r="D26" s="1"/>
      <c r="E26" s="1"/>
      <c r="F26" s="1"/>
      <c r="G26" s="1"/>
      <c r="H26" s="1"/>
      <c r="I26" s="1"/>
      <c r="J26" s="1"/>
    </row>
    <row r="27" spans="2:10" ht="27" customHeight="1" x14ac:dyDescent="0.25">
      <c r="C27" s="10" t="s">
        <v>28</v>
      </c>
    </row>
    <row r="29" spans="2:10" s="59" customFormat="1" ht="15" x14ac:dyDescent="0.25">
      <c r="B29" s="56">
        <v>1</v>
      </c>
      <c r="C29" s="57" t="s">
        <v>47</v>
      </c>
      <c r="D29" s="56"/>
      <c r="E29" s="56"/>
      <c r="F29" s="56"/>
      <c r="G29" s="56"/>
      <c r="H29" s="58"/>
      <c r="I29" s="58"/>
      <c r="J29" s="58"/>
    </row>
    <row r="30" spans="2:10" s="4" customFormat="1" ht="25.5" customHeight="1" x14ac:dyDescent="0.25">
      <c r="B30" s="7"/>
      <c r="C30" s="141" t="s">
        <v>240</v>
      </c>
      <c r="D30" s="141"/>
      <c r="E30" s="141"/>
      <c r="F30" s="141"/>
      <c r="G30" s="141"/>
      <c r="H30" s="141"/>
      <c r="I30" s="141"/>
      <c r="J30" s="141"/>
    </row>
    <row r="31" spans="2:10" ht="42.75" x14ac:dyDescent="0.2">
      <c r="B31" s="8" t="s">
        <v>0</v>
      </c>
      <c r="C31" s="12" t="s">
        <v>24</v>
      </c>
      <c r="D31" s="47" t="s">
        <v>30</v>
      </c>
      <c r="E31" s="47" t="s">
        <v>48</v>
      </c>
      <c r="F31" s="47" t="s">
        <v>29</v>
      </c>
      <c r="G31" s="47" t="s">
        <v>26</v>
      </c>
      <c r="H31" s="47" t="s">
        <v>25</v>
      </c>
      <c r="I31" s="47" t="s">
        <v>31</v>
      </c>
      <c r="J31" s="47" t="s">
        <v>27</v>
      </c>
    </row>
    <row r="32" spans="2:10" s="4" customFormat="1" ht="114" x14ac:dyDescent="0.25">
      <c r="B32" s="43" t="s">
        <v>118</v>
      </c>
      <c r="C32" s="17" t="s">
        <v>73</v>
      </c>
      <c r="D32" s="45" t="s">
        <v>56</v>
      </c>
      <c r="E32" s="45" t="s">
        <v>39</v>
      </c>
      <c r="F32" s="45">
        <v>13</v>
      </c>
      <c r="G32" s="123"/>
      <c r="H32" s="45">
        <v>1</v>
      </c>
      <c r="I32" s="50">
        <f>H32*G32*F32</f>
        <v>0</v>
      </c>
      <c r="J32" s="48" t="s">
        <v>78</v>
      </c>
    </row>
    <row r="33" spans="2:10" s="3" customFormat="1" ht="15" customHeight="1" x14ac:dyDescent="0.25">
      <c r="B33" s="138" t="s">
        <v>33</v>
      </c>
      <c r="C33" s="139"/>
      <c r="D33" s="139"/>
      <c r="E33" s="139"/>
      <c r="F33" s="139"/>
      <c r="G33" s="139"/>
      <c r="H33" s="140"/>
      <c r="I33" s="19">
        <f>SUM(I32)</f>
        <v>0</v>
      </c>
      <c r="J33" s="14"/>
    </row>
    <row r="35" spans="2:10" s="59" customFormat="1" ht="15" x14ac:dyDescent="0.25">
      <c r="B35" s="56">
        <v>2</v>
      </c>
      <c r="C35" s="57" t="s">
        <v>247</v>
      </c>
      <c r="D35" s="56"/>
      <c r="E35" s="56"/>
      <c r="F35" s="56"/>
      <c r="G35" s="56"/>
      <c r="H35" s="58"/>
      <c r="I35" s="58"/>
      <c r="J35" s="58"/>
    </row>
    <row r="36" spans="2:10" s="81" customFormat="1" ht="42.75" customHeight="1" x14ac:dyDescent="0.25">
      <c r="B36" s="93"/>
      <c r="C36" s="159" t="s">
        <v>519</v>
      </c>
      <c r="D36" s="159"/>
      <c r="E36" s="159"/>
      <c r="F36" s="159"/>
      <c r="G36" s="159"/>
      <c r="H36" s="159"/>
      <c r="I36" s="159"/>
      <c r="J36" s="159"/>
    </row>
    <row r="37" spans="2:10" ht="42.75" x14ac:dyDescent="0.2">
      <c r="B37" s="8" t="s">
        <v>0</v>
      </c>
      <c r="C37" s="12" t="s">
        <v>24</v>
      </c>
      <c r="D37" s="47" t="s">
        <v>30</v>
      </c>
      <c r="E37" s="47" t="s">
        <v>48</v>
      </c>
      <c r="F37" s="47" t="s">
        <v>29</v>
      </c>
      <c r="G37" s="47" t="s">
        <v>26</v>
      </c>
      <c r="H37" s="47" t="s">
        <v>25</v>
      </c>
      <c r="I37" s="47" t="s">
        <v>31</v>
      </c>
      <c r="J37" s="47" t="s">
        <v>27</v>
      </c>
    </row>
    <row r="38" spans="2:10" s="4" customFormat="1" ht="28.5" x14ac:dyDescent="0.25">
      <c r="B38" s="43" t="s">
        <v>119</v>
      </c>
      <c r="C38" s="17" t="s">
        <v>254</v>
      </c>
      <c r="D38" s="45">
        <v>185804214</v>
      </c>
      <c r="E38" s="45" t="s">
        <v>50</v>
      </c>
      <c r="F38" s="45">
        <f>48*0.3</f>
        <v>14.399999999999999</v>
      </c>
      <c r="G38" s="123"/>
      <c r="H38" s="45">
        <v>3</v>
      </c>
      <c r="I38" s="50">
        <f>H38*G38*F38</f>
        <v>0</v>
      </c>
      <c r="J38" s="48" t="s">
        <v>255</v>
      </c>
    </row>
    <row r="39" spans="2:10" s="4" customFormat="1" ht="28.5" x14ac:dyDescent="0.25">
      <c r="B39" s="43" t="s">
        <v>165</v>
      </c>
      <c r="C39" s="17" t="s">
        <v>252</v>
      </c>
      <c r="D39" s="45" t="s">
        <v>56</v>
      </c>
      <c r="E39" s="45" t="s">
        <v>39</v>
      </c>
      <c r="F39" s="45">
        <v>1</v>
      </c>
      <c r="G39" s="123"/>
      <c r="H39" s="45">
        <v>1</v>
      </c>
      <c r="I39" s="50">
        <f>H39*G39*F39</f>
        <v>0</v>
      </c>
      <c r="J39" s="77" t="s">
        <v>520</v>
      </c>
    </row>
    <row r="40" spans="2:10" s="4" customFormat="1" ht="28.5" x14ac:dyDescent="0.25">
      <c r="B40" s="43" t="s">
        <v>166</v>
      </c>
      <c r="C40" s="17" t="s">
        <v>253</v>
      </c>
      <c r="D40" s="45" t="s">
        <v>56</v>
      </c>
      <c r="E40" s="45" t="s">
        <v>39</v>
      </c>
      <c r="F40" s="45">
        <v>2</v>
      </c>
      <c r="G40" s="123"/>
      <c r="H40" s="45">
        <v>1</v>
      </c>
      <c r="I40" s="50">
        <f>H40*G40*F40</f>
        <v>0</v>
      </c>
      <c r="J40" s="77" t="s">
        <v>521</v>
      </c>
    </row>
    <row r="41" spans="2:10" s="3" customFormat="1" ht="15" customHeight="1" x14ac:dyDescent="0.25">
      <c r="B41" s="138" t="s">
        <v>33</v>
      </c>
      <c r="C41" s="139"/>
      <c r="D41" s="139"/>
      <c r="E41" s="139"/>
      <c r="F41" s="139"/>
      <c r="G41" s="139"/>
      <c r="H41" s="140"/>
      <c r="I41" s="19">
        <f>SUM(I38:I40)</f>
        <v>0</v>
      </c>
      <c r="J41" s="14"/>
    </row>
    <row r="43" spans="2:10" s="59" customFormat="1" ht="15" x14ac:dyDescent="0.25">
      <c r="B43" s="56">
        <v>3</v>
      </c>
      <c r="C43" s="57" t="s">
        <v>256</v>
      </c>
      <c r="D43" s="56"/>
      <c r="E43" s="56"/>
      <c r="F43" s="56"/>
      <c r="G43" s="56"/>
      <c r="H43" s="58"/>
      <c r="I43" s="58"/>
      <c r="J43" s="58"/>
    </row>
    <row r="44" spans="2:10" s="4" customFormat="1" ht="41.25" customHeight="1" x14ac:dyDescent="0.25">
      <c r="B44" s="7"/>
      <c r="C44" s="165" t="s">
        <v>522</v>
      </c>
      <c r="D44" s="165"/>
      <c r="E44" s="165"/>
      <c r="F44" s="165"/>
      <c r="G44" s="165"/>
      <c r="H44" s="165"/>
      <c r="I44" s="165"/>
      <c r="J44" s="165"/>
    </row>
    <row r="45" spans="2:10" ht="42.75" x14ac:dyDescent="0.2">
      <c r="B45" s="8" t="s">
        <v>0</v>
      </c>
      <c r="C45" s="12" t="s">
        <v>24</v>
      </c>
      <c r="D45" s="47" t="s">
        <v>30</v>
      </c>
      <c r="E45" s="47" t="s">
        <v>48</v>
      </c>
      <c r="F45" s="47" t="s">
        <v>29</v>
      </c>
      <c r="G45" s="47" t="s">
        <v>26</v>
      </c>
      <c r="H45" s="47" t="s">
        <v>25</v>
      </c>
      <c r="I45" s="47" t="s">
        <v>31</v>
      </c>
      <c r="J45" s="47" t="s">
        <v>27</v>
      </c>
    </row>
    <row r="46" spans="2:10" s="4" customFormat="1" ht="28.5" x14ac:dyDescent="0.25">
      <c r="B46" s="43" t="s">
        <v>120</v>
      </c>
      <c r="C46" s="17" t="s">
        <v>254</v>
      </c>
      <c r="D46" s="45">
        <v>185804214</v>
      </c>
      <c r="E46" s="45" t="s">
        <v>50</v>
      </c>
      <c r="F46" s="45">
        <f>187*0.3</f>
        <v>56.1</v>
      </c>
      <c r="G46" s="123"/>
      <c r="H46" s="45">
        <v>3</v>
      </c>
      <c r="I46" s="50">
        <f>H46*G46*F46</f>
        <v>0</v>
      </c>
      <c r="J46" s="48" t="s">
        <v>255</v>
      </c>
    </row>
    <row r="47" spans="2:10" s="4" customFormat="1" ht="71.25" x14ac:dyDescent="0.25">
      <c r="B47" s="43" t="s">
        <v>121</v>
      </c>
      <c r="C47" s="17" t="s">
        <v>253</v>
      </c>
      <c r="D47" s="45" t="s">
        <v>56</v>
      </c>
      <c r="E47" s="45" t="s">
        <v>39</v>
      </c>
      <c r="F47" s="45">
        <v>4</v>
      </c>
      <c r="G47" s="123"/>
      <c r="H47" s="45">
        <v>1</v>
      </c>
      <c r="I47" s="50">
        <f>H47*G47*F47</f>
        <v>0</v>
      </c>
      <c r="J47" s="77" t="s">
        <v>523</v>
      </c>
    </row>
    <row r="48" spans="2:10" s="3" customFormat="1" ht="15" customHeight="1" x14ac:dyDescent="0.25">
      <c r="B48" s="138" t="s">
        <v>33</v>
      </c>
      <c r="C48" s="139"/>
      <c r="D48" s="139"/>
      <c r="E48" s="139"/>
      <c r="F48" s="139"/>
      <c r="G48" s="139"/>
      <c r="H48" s="140"/>
      <c r="I48" s="19">
        <f>SUM(I46:I47)</f>
        <v>0</v>
      </c>
      <c r="J48" s="14"/>
    </row>
    <row r="50" spans="2:10" s="59" customFormat="1" ht="15" x14ac:dyDescent="0.25">
      <c r="B50" s="56">
        <v>4</v>
      </c>
      <c r="C50" s="57" t="s">
        <v>1</v>
      </c>
      <c r="D50" s="56"/>
      <c r="E50" s="56"/>
      <c r="F50" s="56"/>
      <c r="G50" s="56"/>
      <c r="H50" s="58"/>
      <c r="I50" s="58"/>
      <c r="J50" s="58"/>
    </row>
    <row r="51" spans="2:10" s="4" customFormat="1" ht="40.5" customHeight="1" x14ac:dyDescent="0.25">
      <c r="B51" s="7"/>
      <c r="C51" s="165" t="s">
        <v>524</v>
      </c>
      <c r="D51" s="165"/>
      <c r="E51" s="165"/>
      <c r="F51" s="165"/>
      <c r="G51" s="165"/>
      <c r="H51" s="165"/>
      <c r="I51" s="165"/>
      <c r="J51" s="165"/>
    </row>
    <row r="52" spans="2:10" ht="42.75" x14ac:dyDescent="0.2">
      <c r="B52" s="8" t="s">
        <v>0</v>
      </c>
      <c r="C52" s="12" t="s">
        <v>24</v>
      </c>
      <c r="D52" s="47" t="s">
        <v>30</v>
      </c>
      <c r="E52" s="47" t="s">
        <v>48</v>
      </c>
      <c r="F52" s="47" t="s">
        <v>29</v>
      </c>
      <c r="G52" s="47" t="s">
        <v>26</v>
      </c>
      <c r="H52" s="47" t="s">
        <v>25</v>
      </c>
      <c r="I52" s="47" t="s">
        <v>31</v>
      </c>
      <c r="J52" s="47" t="s">
        <v>27</v>
      </c>
    </row>
    <row r="53" spans="2:10" s="4" customFormat="1" ht="28.5" x14ac:dyDescent="0.25">
      <c r="B53" s="43" t="s">
        <v>125</v>
      </c>
      <c r="C53" s="17" t="s">
        <v>254</v>
      </c>
      <c r="D53" s="45">
        <v>185804214</v>
      </c>
      <c r="E53" s="45" t="s">
        <v>50</v>
      </c>
      <c r="F53" s="45">
        <f>163.5*0.3</f>
        <v>49.05</v>
      </c>
      <c r="G53" s="123"/>
      <c r="H53" s="45">
        <v>3</v>
      </c>
      <c r="I53" s="50">
        <f>H53*G53*F53</f>
        <v>0</v>
      </c>
      <c r="J53" s="48" t="s">
        <v>255</v>
      </c>
    </row>
    <row r="54" spans="2:10" s="4" customFormat="1" ht="71.25" x14ac:dyDescent="0.25">
      <c r="B54" s="43" t="s">
        <v>126</v>
      </c>
      <c r="C54" s="17" t="s">
        <v>525</v>
      </c>
      <c r="D54" s="45" t="s">
        <v>56</v>
      </c>
      <c r="E54" s="45" t="s">
        <v>50</v>
      </c>
      <c r="F54" s="45">
        <f>163.5*0.3</f>
        <v>49.05</v>
      </c>
      <c r="G54" s="123"/>
      <c r="H54" s="45">
        <v>1</v>
      </c>
      <c r="I54" s="50">
        <f>H54*G54*F54</f>
        <v>0</v>
      </c>
      <c r="J54" s="77" t="s">
        <v>526</v>
      </c>
    </row>
    <row r="55" spans="2:10" s="3" customFormat="1" ht="15" customHeight="1" x14ac:dyDescent="0.25">
      <c r="B55" s="138" t="s">
        <v>33</v>
      </c>
      <c r="C55" s="139"/>
      <c r="D55" s="139"/>
      <c r="E55" s="139"/>
      <c r="F55" s="139"/>
      <c r="G55" s="139"/>
      <c r="H55" s="140"/>
      <c r="I55" s="19">
        <f>SUM(I53:I54)</f>
        <v>0</v>
      </c>
      <c r="J55" s="14"/>
    </row>
    <row r="57" spans="2:10" s="59" customFormat="1" ht="15" x14ac:dyDescent="0.25">
      <c r="B57" s="56">
        <v>5</v>
      </c>
      <c r="C57" s="57" t="s">
        <v>4</v>
      </c>
      <c r="D57" s="56"/>
      <c r="E57" s="56"/>
      <c r="F57" s="56"/>
      <c r="G57" s="56"/>
      <c r="H57" s="58"/>
      <c r="I57" s="58"/>
      <c r="J57" s="58"/>
    </row>
    <row r="58" spans="2:10" s="4" customFormat="1" ht="24.75" customHeight="1" x14ac:dyDescent="0.25">
      <c r="B58" s="7"/>
      <c r="C58" s="141" t="s">
        <v>527</v>
      </c>
      <c r="D58" s="141"/>
      <c r="E58" s="141"/>
      <c r="F58" s="141"/>
      <c r="G58" s="141"/>
      <c r="H58" s="141"/>
      <c r="I58" s="141"/>
      <c r="J58" s="141"/>
    </row>
    <row r="59" spans="2:10" ht="42.75" x14ac:dyDescent="0.2">
      <c r="B59" s="8" t="s">
        <v>0</v>
      </c>
      <c r="C59" s="12" t="s">
        <v>24</v>
      </c>
      <c r="D59" s="47" t="s">
        <v>30</v>
      </c>
      <c r="E59" s="47" t="s">
        <v>48</v>
      </c>
      <c r="F59" s="47" t="s">
        <v>29</v>
      </c>
      <c r="G59" s="47" t="s">
        <v>26</v>
      </c>
      <c r="H59" s="47" t="s">
        <v>25</v>
      </c>
      <c r="I59" s="47" t="s">
        <v>31</v>
      </c>
      <c r="J59" s="47" t="s">
        <v>27</v>
      </c>
    </row>
    <row r="60" spans="2:10" s="4" customFormat="1" ht="71.25" x14ac:dyDescent="0.25">
      <c r="B60" s="43" t="s">
        <v>128</v>
      </c>
      <c r="C60" s="17" t="s">
        <v>528</v>
      </c>
      <c r="D60" s="45" t="s">
        <v>56</v>
      </c>
      <c r="E60" s="45" t="s">
        <v>50</v>
      </c>
      <c r="F60" s="45">
        <f>150*0.5</f>
        <v>75</v>
      </c>
      <c r="G60" s="123"/>
      <c r="H60" s="45">
        <v>1</v>
      </c>
      <c r="I60" s="50">
        <f>H60*G60*F60</f>
        <v>0</v>
      </c>
      <c r="J60" s="77" t="s">
        <v>529</v>
      </c>
    </row>
    <row r="61" spans="2:10" s="4" customFormat="1" ht="71.25" x14ac:dyDescent="0.25">
      <c r="B61" s="43" t="s">
        <v>129</v>
      </c>
      <c r="C61" s="17" t="s">
        <v>525</v>
      </c>
      <c r="D61" s="45" t="s">
        <v>56</v>
      </c>
      <c r="E61" s="45" t="s">
        <v>50</v>
      </c>
      <c r="F61" s="45">
        <f>150*0.5</f>
        <v>75</v>
      </c>
      <c r="G61" s="123"/>
      <c r="H61" s="45">
        <v>1</v>
      </c>
      <c r="I61" s="50">
        <f>H61*G61*F61</f>
        <v>0</v>
      </c>
      <c r="J61" s="77" t="s">
        <v>529</v>
      </c>
    </row>
    <row r="62" spans="2:10" s="3" customFormat="1" ht="15" customHeight="1" x14ac:dyDescent="0.25">
      <c r="B62" s="138" t="s">
        <v>33</v>
      </c>
      <c r="C62" s="139"/>
      <c r="D62" s="139"/>
      <c r="E62" s="139"/>
      <c r="F62" s="139"/>
      <c r="G62" s="139"/>
      <c r="H62" s="140"/>
      <c r="I62" s="19">
        <f>SUM(I60:I61)</f>
        <v>0</v>
      </c>
      <c r="J62" s="14"/>
    </row>
    <row r="64" spans="2:10" s="59" customFormat="1" ht="15" x14ac:dyDescent="0.25">
      <c r="B64" s="56">
        <v>6</v>
      </c>
      <c r="C64" s="57" t="s">
        <v>5</v>
      </c>
      <c r="D64" s="56"/>
      <c r="E64" s="56"/>
      <c r="F64" s="56"/>
      <c r="G64" s="56"/>
      <c r="H64" s="58"/>
      <c r="I64" s="58"/>
      <c r="J64" s="58"/>
    </row>
    <row r="65" spans="2:10" s="4" customFormat="1" ht="24.75" customHeight="1" x14ac:dyDescent="0.25">
      <c r="B65" s="7"/>
      <c r="C65" s="141" t="s">
        <v>530</v>
      </c>
      <c r="D65" s="141"/>
      <c r="E65" s="141"/>
      <c r="F65" s="141"/>
      <c r="G65" s="141"/>
      <c r="H65" s="141"/>
      <c r="I65" s="141"/>
      <c r="J65" s="141"/>
    </row>
    <row r="66" spans="2:10" ht="42.75" x14ac:dyDescent="0.2">
      <c r="B66" s="8" t="s">
        <v>0</v>
      </c>
      <c r="C66" s="12" t="s">
        <v>24</v>
      </c>
      <c r="D66" s="47" t="s">
        <v>30</v>
      </c>
      <c r="E66" s="47" t="s">
        <v>48</v>
      </c>
      <c r="F66" s="47" t="s">
        <v>29</v>
      </c>
      <c r="G66" s="47" t="s">
        <v>26</v>
      </c>
      <c r="H66" s="47" t="s">
        <v>25</v>
      </c>
      <c r="I66" s="47" t="s">
        <v>31</v>
      </c>
      <c r="J66" s="47" t="s">
        <v>27</v>
      </c>
    </row>
    <row r="67" spans="2:10" s="4" customFormat="1" ht="28.5" x14ac:dyDescent="0.25">
      <c r="B67" s="43" t="s">
        <v>138</v>
      </c>
      <c r="C67" s="17" t="s">
        <v>254</v>
      </c>
      <c r="D67" s="45">
        <v>185804214</v>
      </c>
      <c r="E67" s="45" t="s">
        <v>50</v>
      </c>
      <c r="F67" s="45">
        <f>18*0.3</f>
        <v>5.3999999999999995</v>
      </c>
      <c r="G67" s="123"/>
      <c r="H67" s="45">
        <v>3</v>
      </c>
      <c r="I67" s="50">
        <f>H67*G67*F67</f>
        <v>0</v>
      </c>
      <c r="J67" s="48" t="s">
        <v>255</v>
      </c>
    </row>
    <row r="68" spans="2:10" s="4" customFormat="1" ht="71.25" x14ac:dyDescent="0.25">
      <c r="B68" s="43" t="s">
        <v>139</v>
      </c>
      <c r="C68" s="17" t="s">
        <v>528</v>
      </c>
      <c r="D68" s="45" t="s">
        <v>56</v>
      </c>
      <c r="E68" s="45" t="s">
        <v>50</v>
      </c>
      <c r="F68" s="45">
        <v>18</v>
      </c>
      <c r="G68" s="123"/>
      <c r="H68" s="45">
        <v>0.25</v>
      </c>
      <c r="I68" s="50">
        <f>H68*G68*F68</f>
        <v>0</v>
      </c>
      <c r="J68" s="77" t="s">
        <v>531</v>
      </c>
    </row>
    <row r="69" spans="2:10" s="3" customFormat="1" ht="15" customHeight="1" x14ac:dyDescent="0.25">
      <c r="B69" s="138" t="s">
        <v>33</v>
      </c>
      <c r="C69" s="139"/>
      <c r="D69" s="139"/>
      <c r="E69" s="139"/>
      <c r="F69" s="139"/>
      <c r="G69" s="139"/>
      <c r="H69" s="140"/>
      <c r="I69" s="19">
        <f>SUM(I67:I68)</f>
        <v>0</v>
      </c>
      <c r="J69" s="14"/>
    </row>
    <row r="71" spans="2:10" s="59" customFormat="1" ht="15" x14ac:dyDescent="0.25">
      <c r="B71" s="56">
        <v>7</v>
      </c>
      <c r="C71" s="57" t="s">
        <v>578</v>
      </c>
      <c r="D71" s="56"/>
      <c r="E71" s="56"/>
      <c r="F71" s="56"/>
      <c r="G71" s="56"/>
      <c r="H71" s="58"/>
      <c r="I71" s="58"/>
      <c r="J71" s="58"/>
    </row>
    <row r="72" spans="2:10" s="4" customFormat="1" ht="36.75" customHeight="1" x14ac:dyDescent="0.25">
      <c r="B72" s="7"/>
      <c r="C72" s="141" t="s">
        <v>583</v>
      </c>
      <c r="D72" s="141"/>
      <c r="E72" s="141"/>
      <c r="F72" s="141"/>
      <c r="G72" s="141"/>
      <c r="H72" s="141"/>
      <c r="I72" s="141"/>
      <c r="J72" s="141"/>
    </row>
    <row r="73" spans="2:10" ht="42.75" x14ac:dyDescent="0.2">
      <c r="B73" s="8" t="s">
        <v>0</v>
      </c>
      <c r="C73" s="12" t="s">
        <v>24</v>
      </c>
      <c r="D73" s="47" t="s">
        <v>30</v>
      </c>
      <c r="E73" s="47" t="s">
        <v>48</v>
      </c>
      <c r="F73" s="47" t="s">
        <v>29</v>
      </c>
      <c r="G73" s="47" t="s">
        <v>26</v>
      </c>
      <c r="H73" s="47" t="s">
        <v>25</v>
      </c>
      <c r="I73" s="47" t="s">
        <v>31</v>
      </c>
      <c r="J73" s="47" t="s">
        <v>27</v>
      </c>
    </row>
    <row r="74" spans="2:10" s="4" customFormat="1" ht="16.5" x14ac:dyDescent="0.25">
      <c r="B74" s="43" t="s">
        <v>141</v>
      </c>
      <c r="C74" s="17" t="s">
        <v>591</v>
      </c>
      <c r="D74" s="76">
        <v>185804214</v>
      </c>
      <c r="E74" s="117" t="s">
        <v>50</v>
      </c>
      <c r="F74" s="117">
        <v>24.5</v>
      </c>
      <c r="G74" s="123"/>
      <c r="H74" s="117">
        <v>2</v>
      </c>
      <c r="I74" s="122">
        <f>H74*G74*F74</f>
        <v>0</v>
      </c>
      <c r="J74" s="77"/>
    </row>
    <row r="75" spans="2:10" s="4" customFormat="1" ht="28.5" x14ac:dyDescent="0.25">
      <c r="B75" s="43" t="s">
        <v>142</v>
      </c>
      <c r="C75" s="17" t="s">
        <v>156</v>
      </c>
      <c r="D75" s="76">
        <v>184911421</v>
      </c>
      <c r="E75" s="117" t="s">
        <v>50</v>
      </c>
      <c r="F75" s="117">
        <v>24.5</v>
      </c>
      <c r="G75" s="123"/>
      <c r="H75" s="117">
        <v>0.5</v>
      </c>
      <c r="I75" s="122">
        <f t="shared" ref="I75:I81" si="0">H75*G75*F75</f>
        <v>0</v>
      </c>
      <c r="J75" s="77"/>
    </row>
    <row r="76" spans="2:10" s="4" customFormat="1" ht="16.5" x14ac:dyDescent="0.25">
      <c r="B76" s="43" t="s">
        <v>143</v>
      </c>
      <c r="C76" s="17" t="s">
        <v>159</v>
      </c>
      <c r="D76" s="117">
        <v>103911000</v>
      </c>
      <c r="E76" s="117" t="s">
        <v>95</v>
      </c>
      <c r="F76" s="117">
        <f>F75*0.07</f>
        <v>1.7150000000000001</v>
      </c>
      <c r="G76" s="123"/>
      <c r="H76" s="117">
        <v>0.5</v>
      </c>
      <c r="I76" s="122">
        <f t="shared" si="0"/>
        <v>0</v>
      </c>
      <c r="J76" s="77" t="s">
        <v>582</v>
      </c>
    </row>
    <row r="77" spans="2:10" s="32" customFormat="1" ht="42.75" x14ac:dyDescent="0.25">
      <c r="B77" s="43" t="s">
        <v>144</v>
      </c>
      <c r="C77" s="29" t="s">
        <v>592</v>
      </c>
      <c r="D77" s="24">
        <v>185802114</v>
      </c>
      <c r="E77" s="116" t="s">
        <v>37</v>
      </c>
      <c r="F77" s="116">
        <f>(40*92)/1000000</f>
        <v>3.6800000000000001E-3</v>
      </c>
      <c r="G77" s="124"/>
      <c r="H77" s="116">
        <v>1</v>
      </c>
      <c r="I77" s="31">
        <f t="shared" si="0"/>
        <v>0</v>
      </c>
      <c r="J77" s="115" t="s">
        <v>593</v>
      </c>
    </row>
    <row r="78" spans="2:10" s="32" customFormat="1" x14ac:dyDescent="0.2">
      <c r="B78" s="43" t="s">
        <v>145</v>
      </c>
      <c r="C78" s="34" t="s">
        <v>594</v>
      </c>
      <c r="D78" s="35" t="s">
        <v>84</v>
      </c>
      <c r="E78" s="116" t="s">
        <v>39</v>
      </c>
      <c r="F78" s="116">
        <v>368</v>
      </c>
      <c r="G78" s="124"/>
      <c r="H78" s="116">
        <v>1</v>
      </c>
      <c r="I78" s="31">
        <f t="shared" si="0"/>
        <v>0</v>
      </c>
      <c r="J78" s="115"/>
    </row>
    <row r="79" spans="2:10" s="32" customFormat="1" ht="42.75" x14ac:dyDescent="0.25">
      <c r="B79" s="43" t="s">
        <v>146</v>
      </c>
      <c r="C79" s="17" t="s">
        <v>580</v>
      </c>
      <c r="D79" s="117">
        <v>184803113</v>
      </c>
      <c r="E79" s="117" t="s">
        <v>50</v>
      </c>
      <c r="F79" s="116">
        <v>65.790000000000006</v>
      </c>
      <c r="G79" s="124"/>
      <c r="H79" s="116">
        <v>2</v>
      </c>
      <c r="I79" s="31">
        <f t="shared" si="0"/>
        <v>0</v>
      </c>
      <c r="J79" s="115" t="s">
        <v>579</v>
      </c>
    </row>
    <row r="80" spans="2:10" s="32" customFormat="1" ht="28.5" x14ac:dyDescent="0.25">
      <c r="B80" s="43" t="s">
        <v>147</v>
      </c>
      <c r="C80" s="17" t="s">
        <v>581</v>
      </c>
      <c r="D80" s="117" t="s">
        <v>84</v>
      </c>
      <c r="E80" s="117" t="s">
        <v>39</v>
      </c>
      <c r="F80" s="116">
        <v>92</v>
      </c>
      <c r="G80" s="124"/>
      <c r="H80" s="116">
        <v>1</v>
      </c>
      <c r="I80" s="31">
        <f t="shared" si="0"/>
        <v>0</v>
      </c>
      <c r="J80" s="115"/>
    </row>
    <row r="81" spans="2:10" s="4" customFormat="1" ht="30.75" x14ac:dyDescent="0.25">
      <c r="B81" s="43" t="s">
        <v>221</v>
      </c>
      <c r="C81" s="17" t="s">
        <v>96</v>
      </c>
      <c r="D81" s="117">
        <v>185804312</v>
      </c>
      <c r="E81" s="117" t="s">
        <v>95</v>
      </c>
      <c r="F81" s="117">
        <f>(24.5*20)/1000</f>
        <v>0.49</v>
      </c>
      <c r="G81" s="123"/>
      <c r="H81" s="117">
        <v>2</v>
      </c>
      <c r="I81" s="122">
        <f t="shared" si="0"/>
        <v>0</v>
      </c>
      <c r="J81" s="117" t="s">
        <v>595</v>
      </c>
    </row>
    <row r="82" spans="2:10" s="3" customFormat="1" ht="15" customHeight="1" x14ac:dyDescent="0.25">
      <c r="B82" s="138" t="s">
        <v>33</v>
      </c>
      <c r="C82" s="139"/>
      <c r="D82" s="139"/>
      <c r="E82" s="139"/>
      <c r="F82" s="139"/>
      <c r="G82" s="139"/>
      <c r="H82" s="140"/>
      <c r="I82" s="19">
        <f>SUM(I74:I81)</f>
        <v>0</v>
      </c>
      <c r="J82" s="14"/>
    </row>
    <row r="84" spans="2:10" s="59" customFormat="1" ht="15" x14ac:dyDescent="0.25">
      <c r="B84" s="56">
        <v>8</v>
      </c>
      <c r="C84" s="57" t="s">
        <v>9</v>
      </c>
      <c r="D84" s="56"/>
      <c r="E84" s="56"/>
      <c r="F84" s="56"/>
      <c r="G84" s="56"/>
      <c r="H84" s="58"/>
      <c r="I84" s="58"/>
      <c r="J84" s="58"/>
    </row>
    <row r="85" spans="2:10" s="4" customFormat="1" ht="35.25" customHeight="1" x14ac:dyDescent="0.25">
      <c r="B85" s="7"/>
      <c r="C85" s="141" t="s">
        <v>571</v>
      </c>
      <c r="D85" s="141"/>
      <c r="E85" s="141"/>
      <c r="F85" s="141"/>
      <c r="G85" s="141"/>
      <c r="H85" s="141"/>
      <c r="I85" s="141"/>
      <c r="J85" s="141"/>
    </row>
    <row r="86" spans="2:10" ht="42.75" x14ac:dyDescent="0.2">
      <c r="B86" s="8" t="s">
        <v>0</v>
      </c>
      <c r="C86" s="12" t="s">
        <v>24</v>
      </c>
      <c r="D86" s="47" t="s">
        <v>30</v>
      </c>
      <c r="E86" s="47" t="s">
        <v>48</v>
      </c>
      <c r="F86" s="47" t="s">
        <v>29</v>
      </c>
      <c r="G86" s="47" t="s">
        <v>26</v>
      </c>
      <c r="H86" s="47" t="s">
        <v>25</v>
      </c>
      <c r="I86" s="47" t="s">
        <v>31</v>
      </c>
      <c r="J86" s="47" t="s">
        <v>27</v>
      </c>
    </row>
    <row r="87" spans="2:10" s="4" customFormat="1" ht="28.5" x14ac:dyDescent="0.25">
      <c r="B87" s="43" t="s">
        <v>148</v>
      </c>
      <c r="C87" s="17" t="s">
        <v>77</v>
      </c>
      <c r="D87" s="45">
        <v>185804214</v>
      </c>
      <c r="E87" s="45" t="s">
        <v>50</v>
      </c>
      <c r="F87" s="45">
        <f>21*0.3</f>
        <v>6.3</v>
      </c>
      <c r="G87" s="123"/>
      <c r="H87" s="45">
        <v>3</v>
      </c>
      <c r="I87" s="50">
        <f>H87*G87*F87</f>
        <v>0</v>
      </c>
      <c r="J87" s="48" t="s">
        <v>172</v>
      </c>
    </row>
    <row r="88" spans="2:10" s="4" customFormat="1" ht="57" x14ac:dyDescent="0.25">
      <c r="B88" s="43" t="s">
        <v>149</v>
      </c>
      <c r="C88" s="17" t="s">
        <v>65</v>
      </c>
      <c r="D88" s="45">
        <v>184803112</v>
      </c>
      <c r="E88" s="45" t="s">
        <v>50</v>
      </c>
      <c r="F88" s="45">
        <v>21</v>
      </c>
      <c r="G88" s="123"/>
      <c r="H88" s="45">
        <v>2</v>
      </c>
      <c r="I88" s="50">
        <f>H88*G88*F88</f>
        <v>0</v>
      </c>
      <c r="J88" s="77" t="s">
        <v>532</v>
      </c>
    </row>
    <row r="89" spans="2:10" s="32" customFormat="1" ht="45" x14ac:dyDescent="0.25">
      <c r="B89" s="43" t="s">
        <v>190</v>
      </c>
      <c r="C89" s="17" t="s">
        <v>75</v>
      </c>
      <c r="D89" s="45">
        <v>185802113</v>
      </c>
      <c r="E89" s="66" t="s">
        <v>37</v>
      </c>
      <c r="F89" s="66">
        <f>(21*20)/1000000</f>
        <v>4.2000000000000002E-4</v>
      </c>
      <c r="G89" s="124"/>
      <c r="H89" s="66">
        <v>1</v>
      </c>
      <c r="I89" s="31">
        <f t="shared" ref="I89:I92" si="1">H89*G89*F89</f>
        <v>0</v>
      </c>
      <c r="J89" s="74" t="s">
        <v>475</v>
      </c>
    </row>
    <row r="90" spans="2:10" s="32" customFormat="1" x14ac:dyDescent="0.2">
      <c r="B90" s="43" t="s">
        <v>229</v>
      </c>
      <c r="C90" s="34" t="s">
        <v>83</v>
      </c>
      <c r="D90" s="35">
        <v>251911550</v>
      </c>
      <c r="E90" s="66" t="s">
        <v>57</v>
      </c>
      <c r="F90" s="66">
        <f>(21*20)/1000</f>
        <v>0.42</v>
      </c>
      <c r="G90" s="124"/>
      <c r="H90" s="66">
        <v>1</v>
      </c>
      <c r="I90" s="31">
        <f t="shared" si="1"/>
        <v>0</v>
      </c>
      <c r="J90" s="65"/>
    </row>
    <row r="91" spans="2:10" s="4" customFormat="1" ht="28.5" x14ac:dyDescent="0.25">
      <c r="B91" s="43" t="s">
        <v>230</v>
      </c>
      <c r="C91" s="17" t="s">
        <v>156</v>
      </c>
      <c r="D91" s="45">
        <v>184911421</v>
      </c>
      <c r="E91" s="45" t="s">
        <v>50</v>
      </c>
      <c r="F91" s="45">
        <v>21</v>
      </c>
      <c r="G91" s="123"/>
      <c r="H91" s="45">
        <v>0.5</v>
      </c>
      <c r="I91" s="50">
        <f t="shared" si="1"/>
        <v>0</v>
      </c>
      <c r="J91" s="48"/>
    </row>
    <row r="92" spans="2:10" s="4" customFormat="1" ht="16.5" x14ac:dyDescent="0.25">
      <c r="B92" s="43" t="s">
        <v>231</v>
      </c>
      <c r="C92" s="17" t="s">
        <v>159</v>
      </c>
      <c r="D92" s="45">
        <v>103911000</v>
      </c>
      <c r="E92" s="45" t="s">
        <v>95</v>
      </c>
      <c r="F92" s="45">
        <f>F91*0.05</f>
        <v>1.05</v>
      </c>
      <c r="G92" s="123"/>
      <c r="H92" s="45">
        <v>0.5</v>
      </c>
      <c r="I92" s="50">
        <f t="shared" si="1"/>
        <v>0</v>
      </c>
      <c r="J92" s="48" t="s">
        <v>160</v>
      </c>
    </row>
    <row r="93" spans="2:10" s="3" customFormat="1" ht="15" customHeight="1" x14ac:dyDescent="0.25">
      <c r="B93" s="138" t="s">
        <v>33</v>
      </c>
      <c r="C93" s="139"/>
      <c r="D93" s="139"/>
      <c r="E93" s="139"/>
      <c r="F93" s="139"/>
      <c r="G93" s="139"/>
      <c r="H93" s="140"/>
      <c r="I93" s="19">
        <f>SUM(I87:I92)</f>
        <v>0</v>
      </c>
      <c r="J93" s="14"/>
    </row>
    <row r="95" spans="2:10" s="57" customFormat="1" ht="15" x14ac:dyDescent="0.25">
      <c r="B95" s="56">
        <v>9</v>
      </c>
      <c r="C95" s="57" t="s">
        <v>10</v>
      </c>
      <c r="D95" s="120" t="s">
        <v>574</v>
      </c>
      <c r="E95" s="56"/>
      <c r="F95" s="56"/>
      <c r="G95" s="56"/>
      <c r="H95" s="56"/>
      <c r="I95" s="56"/>
      <c r="J95" s="56"/>
    </row>
    <row r="97" spans="2:11" s="59" customFormat="1" ht="15" x14ac:dyDescent="0.25">
      <c r="B97" s="56">
        <v>10</v>
      </c>
      <c r="C97" s="57" t="s">
        <v>257</v>
      </c>
      <c r="D97" s="56"/>
      <c r="E97" s="56"/>
      <c r="F97" s="56"/>
      <c r="G97" s="56"/>
      <c r="H97" s="58"/>
      <c r="I97" s="58"/>
      <c r="J97" s="58"/>
    </row>
    <row r="98" spans="2:11" s="4" customFormat="1" ht="51.75" customHeight="1" x14ac:dyDescent="0.25">
      <c r="B98" s="7"/>
      <c r="C98" s="141" t="s">
        <v>533</v>
      </c>
      <c r="D98" s="141"/>
      <c r="E98" s="141"/>
      <c r="F98" s="141"/>
      <c r="G98" s="141"/>
      <c r="H98" s="141"/>
      <c r="I98" s="141"/>
      <c r="J98" s="141"/>
    </row>
    <row r="99" spans="2:11" ht="42.75" x14ac:dyDescent="0.2">
      <c r="B99" s="8" t="s">
        <v>0</v>
      </c>
      <c r="C99" s="12" t="s">
        <v>24</v>
      </c>
      <c r="D99" s="47" t="s">
        <v>30</v>
      </c>
      <c r="E99" s="47" t="s">
        <v>48</v>
      </c>
      <c r="F99" s="47" t="s">
        <v>29</v>
      </c>
      <c r="G99" s="47" t="s">
        <v>26</v>
      </c>
      <c r="H99" s="47" t="s">
        <v>25</v>
      </c>
      <c r="I99" s="47" t="s">
        <v>31</v>
      </c>
      <c r="J99" s="47" t="s">
        <v>27</v>
      </c>
    </row>
    <row r="100" spans="2:11" s="4" customFormat="1" ht="28.5" x14ac:dyDescent="0.25">
      <c r="B100" s="43" t="s">
        <v>225</v>
      </c>
      <c r="C100" s="17" t="s">
        <v>242</v>
      </c>
      <c r="D100" s="45">
        <v>184802613</v>
      </c>
      <c r="E100" s="45" t="s">
        <v>32</v>
      </c>
      <c r="F100" s="45">
        <f>70*0.1</f>
        <v>7</v>
      </c>
      <c r="G100" s="123"/>
      <c r="H100" s="45">
        <v>3</v>
      </c>
      <c r="I100" s="50">
        <f>F100*G100*H100</f>
        <v>0</v>
      </c>
      <c r="J100" s="45" t="s">
        <v>244</v>
      </c>
    </row>
    <row r="101" spans="2:11" s="4" customFormat="1" ht="16.5" x14ac:dyDescent="0.25">
      <c r="B101" s="43" t="s">
        <v>226</v>
      </c>
      <c r="C101" s="17" t="s">
        <v>163</v>
      </c>
      <c r="D101" s="45">
        <v>185804211</v>
      </c>
      <c r="E101" s="45" t="s">
        <v>50</v>
      </c>
      <c r="F101" s="45">
        <f>70*0.1</f>
        <v>7</v>
      </c>
      <c r="G101" s="123"/>
      <c r="H101" s="45">
        <v>3</v>
      </c>
      <c r="I101" s="50">
        <f>H101*G101*F101</f>
        <v>0</v>
      </c>
      <c r="J101" s="45" t="s">
        <v>244</v>
      </c>
    </row>
    <row r="102" spans="2:11" s="4" customFormat="1" ht="45" x14ac:dyDescent="0.25">
      <c r="B102" s="43" t="s">
        <v>227</v>
      </c>
      <c r="C102" s="17" t="s">
        <v>287</v>
      </c>
      <c r="D102" s="45">
        <v>111111411</v>
      </c>
      <c r="E102" s="45" t="s">
        <v>50</v>
      </c>
      <c r="F102" s="45">
        <v>50</v>
      </c>
      <c r="G102" s="123"/>
      <c r="H102" s="45">
        <v>1</v>
      </c>
      <c r="I102" s="50">
        <f t="shared" ref="I102" si="2">H102*G102*F102</f>
        <v>0</v>
      </c>
      <c r="J102" s="77" t="s">
        <v>534</v>
      </c>
    </row>
    <row r="103" spans="2:11" s="3" customFormat="1" ht="15" customHeight="1" x14ac:dyDescent="0.25">
      <c r="B103" s="138" t="s">
        <v>33</v>
      </c>
      <c r="C103" s="139"/>
      <c r="D103" s="139"/>
      <c r="E103" s="139"/>
      <c r="F103" s="139"/>
      <c r="G103" s="139"/>
      <c r="H103" s="140"/>
      <c r="I103" s="19">
        <f>SUM(I100:I102)</f>
        <v>0</v>
      </c>
      <c r="J103" s="14"/>
    </row>
    <row r="105" spans="2:11" s="59" customFormat="1" ht="15" x14ac:dyDescent="0.25">
      <c r="B105" s="56">
        <v>11</v>
      </c>
      <c r="C105" s="57" t="s">
        <v>35</v>
      </c>
      <c r="D105" s="56"/>
      <c r="E105" s="56"/>
      <c r="F105" s="56"/>
      <c r="G105" s="56"/>
      <c r="H105" s="58"/>
      <c r="I105" s="58"/>
      <c r="J105" s="58"/>
    </row>
    <row r="106" spans="2:11" s="4" customFormat="1" ht="23.25" customHeight="1" x14ac:dyDescent="0.25">
      <c r="B106" s="7"/>
      <c r="C106" s="141" t="s">
        <v>243</v>
      </c>
      <c r="D106" s="141"/>
      <c r="E106" s="141"/>
      <c r="F106" s="141"/>
      <c r="G106" s="141"/>
      <c r="H106" s="141"/>
      <c r="I106" s="141"/>
      <c r="J106" s="141"/>
    </row>
    <row r="107" spans="2:11" ht="42.75" x14ac:dyDescent="0.2">
      <c r="B107" s="8" t="s">
        <v>0</v>
      </c>
      <c r="C107" s="12" t="s">
        <v>24</v>
      </c>
      <c r="D107" s="47" t="s">
        <v>30</v>
      </c>
      <c r="E107" s="47" t="s">
        <v>48</v>
      </c>
      <c r="F107" s="47" t="s">
        <v>29</v>
      </c>
      <c r="G107" s="47" t="s">
        <v>26</v>
      </c>
      <c r="H107" s="47" t="s">
        <v>25</v>
      </c>
      <c r="I107" s="47" t="s">
        <v>31</v>
      </c>
      <c r="J107" s="47" t="s">
        <v>27</v>
      </c>
    </row>
    <row r="108" spans="2:11" s="4" customFormat="1" ht="28.5" x14ac:dyDescent="0.25">
      <c r="B108" s="43" t="s">
        <v>261</v>
      </c>
      <c r="C108" s="17" t="s">
        <v>220</v>
      </c>
      <c r="D108" s="45" t="s">
        <v>56</v>
      </c>
      <c r="E108" s="45" t="s">
        <v>42</v>
      </c>
      <c r="F108" s="45">
        <v>2</v>
      </c>
      <c r="G108" s="123"/>
      <c r="H108" s="45">
        <v>8</v>
      </c>
      <c r="I108" s="50">
        <f>F108*G108*H108</f>
        <v>0</v>
      </c>
      <c r="J108" s="77"/>
    </row>
    <row r="109" spans="2:11" s="81" customFormat="1" ht="45" x14ac:dyDescent="0.25">
      <c r="B109" s="43" t="s">
        <v>262</v>
      </c>
      <c r="C109" s="36" t="s">
        <v>509</v>
      </c>
      <c r="D109" s="76">
        <v>185811221</v>
      </c>
      <c r="E109" s="76" t="s">
        <v>50</v>
      </c>
      <c r="F109" s="76">
        <f>F110*0.5</f>
        <v>2428.5</v>
      </c>
      <c r="G109" s="125"/>
      <c r="H109" s="76">
        <v>1</v>
      </c>
      <c r="I109" s="78">
        <f t="shared" ref="I109" si="3">F109*G109*H109</f>
        <v>0</v>
      </c>
      <c r="J109" s="6" t="s">
        <v>512</v>
      </c>
      <c r="K109" s="97"/>
    </row>
    <row r="110" spans="2:11" s="81" customFormat="1" ht="71.25" x14ac:dyDescent="0.25">
      <c r="B110" s="43" t="s">
        <v>263</v>
      </c>
      <c r="C110" s="36" t="s">
        <v>508</v>
      </c>
      <c r="D110" s="76">
        <v>183451421</v>
      </c>
      <c r="E110" s="76" t="s">
        <v>50</v>
      </c>
      <c r="F110" s="76">
        <v>4857</v>
      </c>
      <c r="G110" s="125"/>
      <c r="H110" s="76">
        <v>0.5</v>
      </c>
      <c r="I110" s="78">
        <f>F110*G110*H110</f>
        <v>0</v>
      </c>
      <c r="J110" s="6" t="s">
        <v>479</v>
      </c>
      <c r="K110" s="82"/>
    </row>
    <row r="111" spans="2:11" s="81" customFormat="1" ht="57" x14ac:dyDescent="0.25">
      <c r="B111" s="43" t="s">
        <v>264</v>
      </c>
      <c r="C111" s="36" t="s">
        <v>109</v>
      </c>
      <c r="D111" s="76">
        <v>83451361</v>
      </c>
      <c r="E111" s="76" t="s">
        <v>50</v>
      </c>
      <c r="F111" s="76">
        <v>4857</v>
      </c>
      <c r="G111" s="125"/>
      <c r="H111" s="76">
        <v>0.5</v>
      </c>
      <c r="I111" s="78">
        <f>F111*G111*H111</f>
        <v>0</v>
      </c>
      <c r="J111" s="6" t="s">
        <v>481</v>
      </c>
    </row>
    <row r="112" spans="2:11" s="4" customFormat="1" ht="73.5" x14ac:dyDescent="0.25">
      <c r="B112" s="43" t="s">
        <v>265</v>
      </c>
      <c r="C112" s="29" t="s">
        <v>75</v>
      </c>
      <c r="D112" s="66">
        <v>185802113</v>
      </c>
      <c r="E112" s="66" t="s">
        <v>37</v>
      </c>
      <c r="F112" s="45">
        <f>(F110*20)/1000000</f>
        <v>9.7140000000000004E-2</v>
      </c>
      <c r="G112" s="123"/>
      <c r="H112" s="45">
        <v>1</v>
      </c>
      <c r="I112" s="50">
        <f>F112*G112*H112</f>
        <v>0</v>
      </c>
      <c r="J112" s="6" t="s">
        <v>482</v>
      </c>
      <c r="K112" s="40"/>
    </row>
    <row r="113" spans="2:11" s="4" customFormat="1" ht="18.75" customHeight="1" x14ac:dyDescent="0.2">
      <c r="B113" s="43" t="s">
        <v>266</v>
      </c>
      <c r="C113" s="2" t="s">
        <v>83</v>
      </c>
      <c r="D113" s="35">
        <v>251911550</v>
      </c>
      <c r="E113" s="45" t="s">
        <v>57</v>
      </c>
      <c r="F113" s="45">
        <f>(F110*20)/1000</f>
        <v>97.14</v>
      </c>
      <c r="G113" s="123"/>
      <c r="H113" s="45">
        <v>1</v>
      </c>
      <c r="I113" s="50">
        <f>F113*G113*H113</f>
        <v>0</v>
      </c>
      <c r="J113" s="77"/>
      <c r="K113" s="51"/>
    </row>
    <row r="114" spans="2:11" s="4" customFormat="1" ht="42.75" x14ac:dyDescent="0.25">
      <c r="B114" s="43" t="s">
        <v>267</v>
      </c>
      <c r="C114" s="17" t="s">
        <v>572</v>
      </c>
      <c r="D114" s="76" t="s">
        <v>84</v>
      </c>
      <c r="E114" s="70" t="s">
        <v>39</v>
      </c>
      <c r="F114" s="70">
        <v>1</v>
      </c>
      <c r="G114" s="123"/>
      <c r="H114" s="70">
        <v>10</v>
      </c>
      <c r="I114" s="73">
        <f>F114*G114*H114</f>
        <v>0</v>
      </c>
      <c r="J114" s="77"/>
      <c r="K114" s="80"/>
    </row>
    <row r="115" spans="2:11" s="3" customFormat="1" ht="15" x14ac:dyDescent="0.25">
      <c r="B115" s="138" t="s">
        <v>33</v>
      </c>
      <c r="C115" s="139"/>
      <c r="D115" s="139"/>
      <c r="E115" s="139"/>
      <c r="F115" s="139"/>
      <c r="G115" s="139"/>
      <c r="H115" s="140"/>
      <c r="I115" s="19">
        <f>SUM(I108:I114)</f>
        <v>0</v>
      </c>
      <c r="J115" s="14"/>
    </row>
    <row r="117" spans="2:11" s="59" customFormat="1" ht="15" x14ac:dyDescent="0.25">
      <c r="B117" s="56">
        <v>12</v>
      </c>
      <c r="C117" s="57" t="s">
        <v>34</v>
      </c>
      <c r="D117" s="56"/>
      <c r="E117" s="56"/>
      <c r="F117" s="56"/>
      <c r="G117" s="56"/>
      <c r="H117" s="58"/>
      <c r="I117" s="58"/>
      <c r="J117" s="58"/>
    </row>
    <row r="118" spans="2:11" s="4" customFormat="1" ht="23.25" customHeight="1" x14ac:dyDescent="0.25">
      <c r="B118" s="7"/>
      <c r="C118" s="141" t="s">
        <v>510</v>
      </c>
      <c r="D118" s="141"/>
      <c r="E118" s="141"/>
      <c r="F118" s="141"/>
      <c r="G118" s="141"/>
      <c r="H118" s="141"/>
      <c r="I118" s="141"/>
      <c r="J118" s="141"/>
    </row>
    <row r="119" spans="2:11" ht="42.75" x14ac:dyDescent="0.2">
      <c r="B119" s="8" t="s">
        <v>0</v>
      </c>
      <c r="C119" s="12" t="s">
        <v>24</v>
      </c>
      <c r="D119" s="47" t="s">
        <v>30</v>
      </c>
      <c r="E119" s="47" t="s">
        <v>48</v>
      </c>
      <c r="F119" s="47" t="s">
        <v>29</v>
      </c>
      <c r="G119" s="47" t="s">
        <v>26</v>
      </c>
      <c r="H119" s="47" t="s">
        <v>25</v>
      </c>
      <c r="I119" s="47" t="s">
        <v>31</v>
      </c>
      <c r="J119" s="47" t="s">
        <v>27</v>
      </c>
    </row>
    <row r="120" spans="2:11" s="4" customFormat="1" ht="42.75" x14ac:dyDescent="0.25">
      <c r="B120" s="43" t="s">
        <v>268</v>
      </c>
      <c r="C120" s="17" t="s">
        <v>59</v>
      </c>
      <c r="D120" s="45">
        <v>111151131</v>
      </c>
      <c r="E120" s="45" t="s">
        <v>50</v>
      </c>
      <c r="F120" s="45">
        <v>114</v>
      </c>
      <c r="G120" s="123"/>
      <c r="H120" s="76">
        <v>2</v>
      </c>
      <c r="I120" s="50">
        <f>H120*G120*F120</f>
        <v>0</v>
      </c>
      <c r="J120" s="45"/>
    </row>
    <row r="121" spans="2:11" s="3" customFormat="1" ht="15" customHeight="1" x14ac:dyDescent="0.25">
      <c r="B121" s="138" t="s">
        <v>33</v>
      </c>
      <c r="C121" s="139"/>
      <c r="D121" s="139"/>
      <c r="E121" s="139"/>
      <c r="F121" s="139"/>
      <c r="G121" s="139"/>
      <c r="H121" s="140"/>
      <c r="I121" s="19">
        <f>SUM(I120:I120)</f>
        <v>0</v>
      </c>
      <c r="J121" s="14"/>
    </row>
    <row r="123" spans="2:11" s="59" customFormat="1" ht="15" x14ac:dyDescent="0.25">
      <c r="B123" s="56">
        <v>13</v>
      </c>
      <c r="C123" s="57" t="s">
        <v>248</v>
      </c>
      <c r="D123" s="56"/>
      <c r="E123" s="56"/>
      <c r="F123" s="56"/>
      <c r="G123" s="56"/>
      <c r="H123" s="58"/>
      <c r="I123" s="58"/>
      <c r="J123" s="58"/>
    </row>
    <row r="124" spans="2:11" s="4" customFormat="1" ht="21.75" customHeight="1" x14ac:dyDescent="0.25">
      <c r="B124" s="7"/>
      <c r="C124" s="141" t="s">
        <v>275</v>
      </c>
      <c r="D124" s="141"/>
      <c r="E124" s="141"/>
      <c r="F124" s="141"/>
      <c r="G124" s="141"/>
      <c r="H124" s="141"/>
      <c r="I124" s="141"/>
      <c r="J124" s="141"/>
    </row>
    <row r="125" spans="2:11" ht="42.75" x14ac:dyDescent="0.2">
      <c r="B125" s="8" t="s">
        <v>0</v>
      </c>
      <c r="C125" s="12" t="s">
        <v>24</v>
      </c>
      <c r="D125" s="47" t="s">
        <v>30</v>
      </c>
      <c r="E125" s="47" t="s">
        <v>48</v>
      </c>
      <c r="F125" s="47" t="s">
        <v>29</v>
      </c>
      <c r="G125" s="47" t="s">
        <v>26</v>
      </c>
      <c r="H125" s="47" t="s">
        <v>25</v>
      </c>
      <c r="I125" s="47" t="s">
        <v>31</v>
      </c>
      <c r="J125" s="47" t="s">
        <v>27</v>
      </c>
    </row>
    <row r="126" spans="2:11" s="32" customFormat="1" ht="99.75" x14ac:dyDescent="0.25">
      <c r="B126" s="67" t="s">
        <v>269</v>
      </c>
      <c r="C126" s="29" t="s">
        <v>249</v>
      </c>
      <c r="D126" s="66" t="s">
        <v>56</v>
      </c>
      <c r="E126" s="66" t="s">
        <v>251</v>
      </c>
      <c r="F126" s="66">
        <v>1</v>
      </c>
      <c r="G126" s="124"/>
      <c r="H126" s="66">
        <v>0.25</v>
      </c>
      <c r="I126" s="31">
        <f>H126*G126*F126</f>
        <v>0</v>
      </c>
      <c r="J126" s="65" t="s">
        <v>250</v>
      </c>
    </row>
    <row r="127" spans="2:11" s="3" customFormat="1" ht="15" customHeight="1" x14ac:dyDescent="0.25">
      <c r="B127" s="138" t="s">
        <v>33</v>
      </c>
      <c r="C127" s="139"/>
      <c r="D127" s="139"/>
      <c r="E127" s="139"/>
      <c r="F127" s="139"/>
      <c r="G127" s="139"/>
      <c r="H127" s="140"/>
      <c r="I127" s="19">
        <f>SUM(I126:I126)</f>
        <v>0</v>
      </c>
      <c r="J127" s="14"/>
    </row>
    <row r="129" spans="2:10" s="59" customFormat="1" ht="15" x14ac:dyDescent="0.25">
      <c r="B129" s="56">
        <v>14</v>
      </c>
      <c r="C129" s="57" t="s">
        <v>55</v>
      </c>
      <c r="D129" s="56"/>
      <c r="E129" s="56"/>
      <c r="F129" s="56"/>
      <c r="G129" s="56"/>
      <c r="H129" s="58"/>
      <c r="I129" s="58"/>
      <c r="J129" s="58"/>
    </row>
    <row r="130" spans="2:10" s="4" customFormat="1" ht="41.25" customHeight="1" x14ac:dyDescent="0.25">
      <c r="B130" s="7"/>
      <c r="C130" s="141" t="s">
        <v>245</v>
      </c>
      <c r="D130" s="141"/>
      <c r="E130" s="141"/>
      <c r="F130" s="141"/>
      <c r="G130" s="141"/>
      <c r="H130" s="141"/>
      <c r="I130" s="141"/>
      <c r="J130" s="141"/>
    </row>
    <row r="131" spans="2:10" ht="42.75" x14ac:dyDescent="0.2">
      <c r="B131" s="8" t="s">
        <v>0</v>
      </c>
      <c r="C131" s="12" t="s">
        <v>24</v>
      </c>
      <c r="D131" s="47" t="s">
        <v>30</v>
      </c>
      <c r="E131" s="47" t="s">
        <v>48</v>
      </c>
      <c r="F131" s="47" t="s">
        <v>29</v>
      </c>
      <c r="G131" s="47" t="s">
        <v>26</v>
      </c>
      <c r="H131" s="47" t="s">
        <v>25</v>
      </c>
      <c r="I131" s="47" t="s">
        <v>31</v>
      </c>
      <c r="J131" s="47" t="s">
        <v>27</v>
      </c>
    </row>
    <row r="132" spans="2:10" s="4" customFormat="1" ht="28.5" x14ac:dyDescent="0.25">
      <c r="B132" s="43" t="s">
        <v>270</v>
      </c>
      <c r="C132" s="17" t="s">
        <v>105</v>
      </c>
      <c r="D132" s="45">
        <v>184802611</v>
      </c>
      <c r="E132" s="45" t="s">
        <v>32</v>
      </c>
      <c r="F132" s="45">
        <f>1284*0.3</f>
        <v>385.2</v>
      </c>
      <c r="G132" s="123"/>
      <c r="H132" s="45">
        <v>3</v>
      </c>
      <c r="I132" s="50">
        <f>F132*G132*H132</f>
        <v>0</v>
      </c>
      <c r="J132" s="48" t="s">
        <v>246</v>
      </c>
    </row>
    <row r="133" spans="2:10" s="4" customFormat="1" ht="42.75" x14ac:dyDescent="0.25">
      <c r="B133" s="43" t="s">
        <v>271</v>
      </c>
      <c r="C133" s="17" t="s">
        <v>89</v>
      </c>
      <c r="D133" s="45">
        <v>185811111</v>
      </c>
      <c r="E133" s="45" t="s">
        <v>32</v>
      </c>
      <c r="F133" s="45">
        <f>1284*0.3</f>
        <v>385.2</v>
      </c>
      <c r="G133" s="123"/>
      <c r="H133" s="45">
        <v>2</v>
      </c>
      <c r="I133" s="50">
        <f>F133*G133*H133</f>
        <v>0</v>
      </c>
      <c r="J133" s="48" t="s">
        <v>246</v>
      </c>
    </row>
    <row r="134" spans="2:10" s="3" customFormat="1" ht="15" customHeight="1" x14ac:dyDescent="0.25">
      <c r="B134" s="138" t="s">
        <v>33</v>
      </c>
      <c r="C134" s="139"/>
      <c r="D134" s="139"/>
      <c r="E134" s="139"/>
      <c r="F134" s="139"/>
      <c r="G134" s="139"/>
      <c r="H134" s="140"/>
      <c r="I134" s="19">
        <f>SUM(I132:I133)</f>
        <v>0</v>
      </c>
      <c r="J134" s="14"/>
    </row>
    <row r="136" spans="2:10" s="59" customFormat="1" ht="15" x14ac:dyDescent="0.25">
      <c r="B136" s="56">
        <v>15</v>
      </c>
      <c r="C136" s="57" t="s">
        <v>86</v>
      </c>
      <c r="D136" s="56"/>
      <c r="E136" s="56"/>
      <c r="F136" s="56"/>
      <c r="G136" s="56"/>
      <c r="H136" s="58"/>
      <c r="I136" s="58"/>
      <c r="J136" s="58"/>
    </row>
    <row r="137" spans="2:10" s="4" customFormat="1" ht="21" customHeight="1" x14ac:dyDescent="0.25">
      <c r="B137" s="7"/>
      <c r="C137" s="141" t="s">
        <v>515</v>
      </c>
      <c r="D137" s="141"/>
      <c r="E137" s="141"/>
      <c r="F137" s="141"/>
      <c r="G137" s="141"/>
      <c r="H137" s="141"/>
      <c r="I137" s="141"/>
      <c r="J137" s="141"/>
    </row>
    <row r="138" spans="2:10" ht="42.75" x14ac:dyDescent="0.2">
      <c r="B138" s="8" t="s">
        <v>0</v>
      </c>
      <c r="C138" s="12" t="s">
        <v>24</v>
      </c>
      <c r="D138" s="47" t="s">
        <v>30</v>
      </c>
      <c r="E138" s="47" t="s">
        <v>48</v>
      </c>
      <c r="F138" s="47" t="s">
        <v>29</v>
      </c>
      <c r="G138" s="47" t="s">
        <v>26</v>
      </c>
      <c r="H138" s="47" t="s">
        <v>25</v>
      </c>
      <c r="I138" s="47" t="s">
        <v>31</v>
      </c>
      <c r="J138" s="47" t="s">
        <v>27</v>
      </c>
    </row>
    <row r="139" spans="2:10" s="4" customFormat="1" ht="36.75" customHeight="1" x14ac:dyDescent="0.25">
      <c r="B139" s="43" t="s">
        <v>272</v>
      </c>
      <c r="C139" s="17" t="s">
        <v>514</v>
      </c>
      <c r="D139" s="45" t="s">
        <v>84</v>
      </c>
      <c r="E139" s="45" t="s">
        <v>39</v>
      </c>
      <c r="F139" s="45">
        <v>1</v>
      </c>
      <c r="G139" s="123"/>
      <c r="H139" s="45">
        <v>28</v>
      </c>
      <c r="I139" s="50">
        <f>H139*G139*F139</f>
        <v>0</v>
      </c>
      <c r="J139" s="45" t="s">
        <v>117</v>
      </c>
    </row>
    <row r="140" spans="2:10" s="4" customFormat="1" ht="42.75" x14ac:dyDescent="0.25">
      <c r="B140" s="43" t="s">
        <v>273</v>
      </c>
      <c r="C140" s="17" t="s">
        <v>116</v>
      </c>
      <c r="D140" s="45" t="s">
        <v>56</v>
      </c>
      <c r="E140" s="45" t="s">
        <v>42</v>
      </c>
      <c r="F140" s="45">
        <v>0.3</v>
      </c>
      <c r="G140" s="123"/>
      <c r="H140" s="45">
        <v>24</v>
      </c>
      <c r="I140" s="50">
        <f>H140*G140*F140</f>
        <v>0</v>
      </c>
      <c r="J140" s="48" t="s">
        <v>113</v>
      </c>
    </row>
    <row r="141" spans="2:10" s="59" customFormat="1" x14ac:dyDescent="0.2">
      <c r="B141" s="55" t="s">
        <v>274</v>
      </c>
      <c r="C141" s="53" t="s">
        <v>87</v>
      </c>
      <c r="D141" s="35" t="s">
        <v>84</v>
      </c>
      <c r="E141" s="35" t="s">
        <v>39</v>
      </c>
      <c r="F141" s="35">
        <v>2</v>
      </c>
      <c r="G141" s="125"/>
      <c r="H141" s="35">
        <v>28</v>
      </c>
      <c r="I141" s="121">
        <f>H141*G141*F141</f>
        <v>0</v>
      </c>
      <c r="J141" s="35"/>
    </row>
    <row r="142" spans="2:10" s="81" customFormat="1" ht="57" x14ac:dyDescent="0.25">
      <c r="B142" s="55" t="s">
        <v>516</v>
      </c>
      <c r="C142" s="36" t="s">
        <v>517</v>
      </c>
      <c r="D142" s="76" t="s">
        <v>84</v>
      </c>
      <c r="E142" s="76" t="s">
        <v>39</v>
      </c>
      <c r="F142" s="76">
        <v>1</v>
      </c>
      <c r="G142" s="125"/>
      <c r="H142" s="76">
        <v>2</v>
      </c>
      <c r="I142" s="121">
        <f>H142*G142*F142</f>
        <v>0</v>
      </c>
      <c r="J142" s="6" t="s">
        <v>518</v>
      </c>
    </row>
    <row r="143" spans="2:10" s="3" customFormat="1" ht="15" customHeight="1" x14ac:dyDescent="0.25">
      <c r="B143" s="138" t="s">
        <v>33</v>
      </c>
      <c r="C143" s="139"/>
      <c r="D143" s="139"/>
      <c r="E143" s="139"/>
      <c r="F143" s="139"/>
      <c r="G143" s="139"/>
      <c r="H143" s="140"/>
      <c r="I143" s="19">
        <f>SUM(I139:I142)</f>
        <v>0</v>
      </c>
      <c r="J143" s="14"/>
    </row>
  </sheetData>
  <sheetProtection algorithmName="SHA-512" hashValue="9zQCTbHIkXzUED0Xq7YkWjzI/U8STZWF9e5nTqoj7GZ76h1oEho44Lq88eou+p9TvOZnVXIgH8rLJ+1mDuTjSQ==" saltValue="ZJILRS7LjkGs4x3MxQrxHg==" spinCount="100000" sheet="1" objects="1" scenarios="1"/>
  <mergeCells count="67">
    <mergeCell ref="C9:D9"/>
    <mergeCell ref="G9:J9"/>
    <mergeCell ref="B4:C4"/>
    <mergeCell ref="D4:J4"/>
    <mergeCell ref="B5:J5"/>
    <mergeCell ref="C8:D8"/>
    <mergeCell ref="G8:J8"/>
    <mergeCell ref="C10:D10"/>
    <mergeCell ref="G10:J10"/>
    <mergeCell ref="C11:D11"/>
    <mergeCell ref="G11:J11"/>
    <mergeCell ref="C12:D12"/>
    <mergeCell ref="G12:J12"/>
    <mergeCell ref="C13:D13"/>
    <mergeCell ref="G13:J13"/>
    <mergeCell ref="C14:D14"/>
    <mergeCell ref="G14:J14"/>
    <mergeCell ref="C15:D15"/>
    <mergeCell ref="G15:J15"/>
    <mergeCell ref="C16:D16"/>
    <mergeCell ref="G16:J16"/>
    <mergeCell ref="C17:D17"/>
    <mergeCell ref="G17:J17"/>
    <mergeCell ref="B24:F24"/>
    <mergeCell ref="G24:J24"/>
    <mergeCell ref="C18:D18"/>
    <mergeCell ref="C19:D19"/>
    <mergeCell ref="C20:D20"/>
    <mergeCell ref="C21:D21"/>
    <mergeCell ref="C22:D22"/>
    <mergeCell ref="C23:D23"/>
    <mergeCell ref="C98:J98"/>
    <mergeCell ref="B103:H103"/>
    <mergeCell ref="C130:J130"/>
    <mergeCell ref="B134:H134"/>
    <mergeCell ref="B25:F25"/>
    <mergeCell ref="G25:J25"/>
    <mergeCell ref="C30:J30"/>
    <mergeCell ref="B33:H33"/>
    <mergeCell ref="C36:J36"/>
    <mergeCell ref="B41:H41"/>
    <mergeCell ref="C44:J44"/>
    <mergeCell ref="B48:H48"/>
    <mergeCell ref="C51:J51"/>
    <mergeCell ref="B55:H55"/>
    <mergeCell ref="C65:J65"/>
    <mergeCell ref="B69:H69"/>
    <mergeCell ref="C137:J137"/>
    <mergeCell ref="B143:H143"/>
    <mergeCell ref="C118:J118"/>
    <mergeCell ref="B121:H121"/>
    <mergeCell ref="C106:J106"/>
    <mergeCell ref="B115:H115"/>
    <mergeCell ref="C124:J124"/>
    <mergeCell ref="B127:H127"/>
    <mergeCell ref="B93:H93"/>
    <mergeCell ref="G23:J23"/>
    <mergeCell ref="G18:J18"/>
    <mergeCell ref="G19:J19"/>
    <mergeCell ref="G20:J20"/>
    <mergeCell ref="G21:J21"/>
    <mergeCell ref="G22:J22"/>
    <mergeCell ref="C58:J58"/>
    <mergeCell ref="B62:H62"/>
    <mergeCell ref="C72:J72"/>
    <mergeCell ref="B82:H82"/>
    <mergeCell ref="C85:J8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0" orientation="portrait" r:id="rId1"/>
  <headerFooter>
    <oddHeader>&amp;CPLÁN ÚDRŽBY NA POZEMCÍCH SPRÁVY KRNAP VE VRCHLABÍ</oddHeader>
  </headerFooter>
  <rowBreaks count="3" manualBreakCount="3">
    <brk id="49" min="1" max="9" man="1"/>
    <brk id="83" min="1" max="9" man="1"/>
    <brk id="110" min="1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01"/>
  <sheetViews>
    <sheetView topLeftCell="A81" zoomScale="80" zoomScaleNormal="80" zoomScaleSheetLayoutView="110" workbookViewId="0">
      <selection activeCell="F91" sqref="F91"/>
    </sheetView>
  </sheetViews>
  <sheetFormatPr defaultRowHeight="14.25" x14ac:dyDescent="0.2"/>
  <cols>
    <col min="1" max="1" width="9.140625" style="1"/>
    <col min="2" max="2" width="9.140625" style="9"/>
    <col min="3" max="3" width="36.5703125" style="1" customWidth="1"/>
    <col min="4" max="4" width="13" style="9" customWidth="1"/>
    <col min="5" max="5" width="6.5703125" style="9" customWidth="1"/>
    <col min="6" max="6" width="11.28515625" style="9" customWidth="1"/>
    <col min="7" max="7" width="13.7109375" style="9" customWidth="1"/>
    <col min="8" max="8" width="11" style="9" customWidth="1"/>
    <col min="9" max="9" width="16.5703125" style="9" customWidth="1"/>
    <col min="10" max="10" width="33.42578125" style="9" customWidth="1"/>
    <col min="11" max="13" width="9.140625" style="1"/>
    <col min="14" max="14" width="21" style="1" customWidth="1"/>
    <col min="15" max="15" width="26.7109375" style="1" customWidth="1"/>
    <col min="16" max="16384" width="9.140625" style="1"/>
  </cols>
  <sheetData>
    <row r="2" spans="2:10" ht="27" customHeight="1" x14ac:dyDescent="0.25">
      <c r="B2" s="16" t="s">
        <v>52</v>
      </c>
      <c r="C2" s="10"/>
    </row>
    <row r="3" spans="2:10" ht="17.25" customHeight="1" x14ac:dyDescent="0.25">
      <c r="C3" s="10"/>
    </row>
    <row r="4" spans="2:10" ht="18" x14ac:dyDescent="0.25">
      <c r="B4" s="152" t="s">
        <v>54</v>
      </c>
      <c r="C4" s="152"/>
      <c r="D4" s="153">
        <v>3</v>
      </c>
      <c r="E4" s="153"/>
      <c r="F4" s="153"/>
      <c r="G4" s="153"/>
      <c r="H4" s="153"/>
      <c r="I4" s="153"/>
      <c r="J4" s="153"/>
    </row>
    <row r="5" spans="2:10" ht="34.5" customHeight="1" x14ac:dyDescent="0.2">
      <c r="B5" s="154" t="s">
        <v>238</v>
      </c>
      <c r="C5" s="155"/>
      <c r="D5" s="155"/>
      <c r="E5" s="155"/>
      <c r="F5" s="155"/>
      <c r="G5" s="155"/>
      <c r="H5" s="155"/>
      <c r="I5" s="155"/>
      <c r="J5" s="156"/>
    </row>
    <row r="7" spans="2:10" ht="15" x14ac:dyDescent="0.25">
      <c r="B7" s="15" t="s">
        <v>152</v>
      </c>
      <c r="C7" s="3"/>
      <c r="D7" s="1"/>
      <c r="E7" s="1"/>
      <c r="F7" s="1"/>
      <c r="G7" s="1"/>
      <c r="H7" s="1"/>
      <c r="I7" s="1"/>
      <c r="J7" s="1"/>
    </row>
    <row r="8" spans="2:10" s="4" customFormat="1" ht="19.5" customHeight="1" x14ac:dyDescent="0.25">
      <c r="B8" s="8" t="s">
        <v>53</v>
      </c>
      <c r="C8" s="176" t="s">
        <v>14</v>
      </c>
      <c r="D8" s="177"/>
      <c r="E8" s="8" t="s">
        <v>48</v>
      </c>
      <c r="F8" s="44" t="s">
        <v>49</v>
      </c>
      <c r="G8" s="158" t="s">
        <v>51</v>
      </c>
      <c r="H8" s="158"/>
      <c r="I8" s="158"/>
      <c r="J8" s="158"/>
    </row>
    <row r="9" spans="2:10" s="81" customFormat="1" x14ac:dyDescent="0.25">
      <c r="B9" s="69">
        <v>1</v>
      </c>
      <c r="C9" s="178" t="s">
        <v>210</v>
      </c>
      <c r="D9" s="179"/>
      <c r="E9" s="69" t="s">
        <v>39</v>
      </c>
      <c r="F9" s="100">
        <v>89</v>
      </c>
      <c r="G9" s="181">
        <f>I37</f>
        <v>0</v>
      </c>
      <c r="H9" s="181"/>
      <c r="I9" s="181"/>
      <c r="J9" s="181"/>
    </row>
    <row r="10" spans="2:10" s="81" customFormat="1" ht="16.5" x14ac:dyDescent="0.25">
      <c r="B10" s="69">
        <v>2</v>
      </c>
      <c r="C10" s="178" t="s">
        <v>46</v>
      </c>
      <c r="D10" s="179"/>
      <c r="E10" s="69" t="s">
        <v>50</v>
      </c>
      <c r="F10" s="100">
        <v>8</v>
      </c>
      <c r="G10" s="181">
        <f>I43</f>
        <v>0</v>
      </c>
      <c r="H10" s="181"/>
      <c r="I10" s="181"/>
      <c r="J10" s="181"/>
    </row>
    <row r="11" spans="2:10" s="81" customFormat="1" ht="17.25" customHeight="1" x14ac:dyDescent="0.25">
      <c r="B11" s="69">
        <v>3</v>
      </c>
      <c r="C11" s="178" t="s">
        <v>216</v>
      </c>
      <c r="D11" s="179"/>
      <c r="E11" s="69" t="s">
        <v>39</v>
      </c>
      <c r="F11" s="100">
        <v>2</v>
      </c>
      <c r="G11" s="181">
        <f>I49</f>
        <v>0</v>
      </c>
      <c r="H11" s="181"/>
      <c r="I11" s="181"/>
      <c r="J11" s="181"/>
    </row>
    <row r="12" spans="2:10" s="81" customFormat="1" ht="16.5" x14ac:dyDescent="0.25">
      <c r="B12" s="69">
        <v>4</v>
      </c>
      <c r="C12" s="144" t="s">
        <v>9</v>
      </c>
      <c r="D12" s="144"/>
      <c r="E12" s="69" t="s">
        <v>50</v>
      </c>
      <c r="F12" s="100">
        <v>118</v>
      </c>
      <c r="G12" s="181">
        <f>I56</f>
        <v>0</v>
      </c>
      <c r="H12" s="181"/>
      <c r="I12" s="181"/>
      <c r="J12" s="181"/>
    </row>
    <row r="13" spans="2:10" s="81" customFormat="1" ht="16.5" x14ac:dyDescent="0.25">
      <c r="B13" s="69">
        <v>5</v>
      </c>
      <c r="C13" s="178" t="s">
        <v>10</v>
      </c>
      <c r="D13" s="179"/>
      <c r="E13" s="69" t="s">
        <v>50</v>
      </c>
      <c r="F13" s="100">
        <v>173</v>
      </c>
      <c r="G13" s="180" t="s">
        <v>574</v>
      </c>
      <c r="H13" s="180"/>
      <c r="I13" s="180"/>
      <c r="J13" s="180"/>
    </row>
    <row r="14" spans="2:10" s="81" customFormat="1" ht="16.5" x14ac:dyDescent="0.25">
      <c r="B14" s="69">
        <v>6</v>
      </c>
      <c r="C14" s="178" t="s">
        <v>208</v>
      </c>
      <c r="D14" s="179"/>
      <c r="E14" s="69" t="s">
        <v>32</v>
      </c>
      <c r="F14" s="100">
        <v>6</v>
      </c>
      <c r="G14" s="181">
        <f>I65</f>
        <v>0</v>
      </c>
      <c r="H14" s="181"/>
      <c r="I14" s="181"/>
      <c r="J14" s="181"/>
    </row>
    <row r="15" spans="2:10" s="81" customFormat="1" ht="16.5" x14ac:dyDescent="0.25">
      <c r="B15" s="69">
        <v>7</v>
      </c>
      <c r="C15" s="144" t="s">
        <v>44</v>
      </c>
      <c r="D15" s="144"/>
      <c r="E15" s="69" t="s">
        <v>50</v>
      </c>
      <c r="F15" s="100">
        <v>7797</v>
      </c>
      <c r="G15" s="181">
        <f>I77</f>
        <v>0</v>
      </c>
      <c r="H15" s="181"/>
      <c r="I15" s="181"/>
      <c r="J15" s="181"/>
    </row>
    <row r="16" spans="2:10" s="82" customFormat="1" ht="17.25" x14ac:dyDescent="0.25">
      <c r="B16" s="64">
        <v>8</v>
      </c>
      <c r="C16" s="182" t="s">
        <v>198</v>
      </c>
      <c r="D16" s="183"/>
      <c r="E16" s="64" t="s">
        <v>38</v>
      </c>
      <c r="F16" s="101">
        <v>1163</v>
      </c>
      <c r="G16" s="184"/>
      <c r="H16" s="185"/>
      <c r="I16" s="185"/>
      <c r="J16" s="186"/>
    </row>
    <row r="17" spans="2:10" s="81" customFormat="1" ht="16.5" x14ac:dyDescent="0.25">
      <c r="B17" s="55" t="s">
        <v>148</v>
      </c>
      <c r="C17" s="178" t="s">
        <v>199</v>
      </c>
      <c r="D17" s="179"/>
      <c r="E17" s="69" t="s">
        <v>50</v>
      </c>
      <c r="F17" s="100">
        <v>57.3</v>
      </c>
      <c r="G17" s="187" t="s">
        <v>574</v>
      </c>
      <c r="H17" s="188"/>
      <c r="I17" s="188"/>
      <c r="J17" s="189"/>
    </row>
    <row r="18" spans="2:10" s="81" customFormat="1" ht="16.5" x14ac:dyDescent="0.25">
      <c r="B18" s="55" t="s">
        <v>149</v>
      </c>
      <c r="C18" s="178" t="s">
        <v>202</v>
      </c>
      <c r="D18" s="179"/>
      <c r="E18" s="69" t="s">
        <v>197</v>
      </c>
      <c r="F18" s="100">
        <v>91</v>
      </c>
      <c r="G18" s="187" t="s">
        <v>574</v>
      </c>
      <c r="H18" s="188"/>
      <c r="I18" s="188"/>
      <c r="J18" s="189"/>
    </row>
    <row r="19" spans="2:10" s="81" customFormat="1" ht="16.5" x14ac:dyDescent="0.25">
      <c r="B19" s="55" t="s">
        <v>190</v>
      </c>
      <c r="C19" s="178" t="s">
        <v>205</v>
      </c>
      <c r="D19" s="179"/>
      <c r="E19" s="69" t="s">
        <v>50</v>
      </c>
      <c r="F19" s="100">
        <v>111</v>
      </c>
      <c r="G19" s="187" t="s">
        <v>574</v>
      </c>
      <c r="H19" s="188"/>
      <c r="I19" s="188"/>
      <c r="J19" s="189"/>
    </row>
    <row r="20" spans="2:10" s="81" customFormat="1" ht="16.5" x14ac:dyDescent="0.25">
      <c r="B20" s="55" t="s">
        <v>229</v>
      </c>
      <c r="C20" s="178" t="s">
        <v>200</v>
      </c>
      <c r="D20" s="179"/>
      <c r="E20" s="69" t="s">
        <v>197</v>
      </c>
      <c r="F20" s="100">
        <v>79</v>
      </c>
      <c r="G20" s="187" t="s">
        <v>574</v>
      </c>
      <c r="H20" s="188"/>
      <c r="I20" s="188"/>
      <c r="J20" s="189"/>
    </row>
    <row r="21" spans="2:10" s="81" customFormat="1" ht="16.5" x14ac:dyDescent="0.25">
      <c r="B21" s="55" t="s">
        <v>230</v>
      </c>
      <c r="C21" s="178" t="s">
        <v>203</v>
      </c>
      <c r="D21" s="179"/>
      <c r="E21" s="69" t="s">
        <v>50</v>
      </c>
      <c r="F21" s="100">
        <v>135</v>
      </c>
      <c r="G21" s="187" t="s">
        <v>574</v>
      </c>
      <c r="H21" s="188"/>
      <c r="I21" s="188"/>
      <c r="J21" s="189"/>
    </row>
    <row r="22" spans="2:10" s="81" customFormat="1" ht="16.5" x14ac:dyDescent="0.25">
      <c r="B22" s="55" t="s">
        <v>231</v>
      </c>
      <c r="C22" s="178" t="s">
        <v>206</v>
      </c>
      <c r="D22" s="179"/>
      <c r="E22" s="69" t="s">
        <v>197</v>
      </c>
      <c r="F22" s="100">
        <v>168</v>
      </c>
      <c r="G22" s="181">
        <f>I86</f>
        <v>0</v>
      </c>
      <c r="H22" s="181"/>
      <c r="I22" s="181"/>
      <c r="J22" s="181"/>
    </row>
    <row r="23" spans="2:10" s="81" customFormat="1" ht="16.5" x14ac:dyDescent="0.25">
      <c r="B23" s="55" t="s">
        <v>234</v>
      </c>
      <c r="C23" s="178" t="s">
        <v>201</v>
      </c>
      <c r="D23" s="179"/>
      <c r="E23" s="69" t="s">
        <v>50</v>
      </c>
      <c r="F23" s="100">
        <v>117.7</v>
      </c>
      <c r="G23" s="187" t="s">
        <v>574</v>
      </c>
      <c r="H23" s="188"/>
      <c r="I23" s="188"/>
      <c r="J23" s="189"/>
    </row>
    <row r="24" spans="2:10" s="81" customFormat="1" ht="16.5" x14ac:dyDescent="0.25">
      <c r="B24" s="55" t="s">
        <v>235</v>
      </c>
      <c r="C24" s="178" t="s">
        <v>204</v>
      </c>
      <c r="D24" s="179"/>
      <c r="E24" s="69" t="s">
        <v>197</v>
      </c>
      <c r="F24" s="100">
        <v>171</v>
      </c>
      <c r="G24" s="187" t="s">
        <v>574</v>
      </c>
      <c r="H24" s="188"/>
      <c r="I24" s="188"/>
      <c r="J24" s="189"/>
    </row>
    <row r="25" spans="2:10" s="81" customFormat="1" ht="16.5" x14ac:dyDescent="0.25">
      <c r="B25" s="55" t="s">
        <v>236</v>
      </c>
      <c r="C25" s="178" t="s">
        <v>237</v>
      </c>
      <c r="D25" s="179"/>
      <c r="E25" s="69" t="s">
        <v>50</v>
      </c>
      <c r="F25" s="100">
        <v>233</v>
      </c>
      <c r="G25" s="187" t="s">
        <v>574</v>
      </c>
      <c r="H25" s="188"/>
      <c r="I25" s="188"/>
      <c r="J25" s="189"/>
    </row>
    <row r="26" spans="2:10" s="81" customFormat="1" ht="16.5" x14ac:dyDescent="0.25">
      <c r="B26" s="69">
        <v>9</v>
      </c>
      <c r="C26" s="178" t="s">
        <v>55</v>
      </c>
      <c r="D26" s="179"/>
      <c r="E26" s="69" t="s">
        <v>50</v>
      </c>
      <c r="F26" s="100">
        <v>1357</v>
      </c>
      <c r="G26" s="181">
        <f>I93</f>
        <v>0</v>
      </c>
      <c r="H26" s="181"/>
      <c r="I26" s="181"/>
      <c r="J26" s="181"/>
    </row>
    <row r="27" spans="2:10" s="81" customFormat="1" x14ac:dyDescent="0.25">
      <c r="B27" s="69">
        <v>10</v>
      </c>
      <c r="C27" s="178" t="s">
        <v>86</v>
      </c>
      <c r="D27" s="179"/>
      <c r="E27" s="69" t="s">
        <v>194</v>
      </c>
      <c r="F27" s="100">
        <v>1</v>
      </c>
      <c r="G27" s="181">
        <f>I101</f>
        <v>0</v>
      </c>
      <c r="H27" s="181"/>
      <c r="I27" s="181"/>
      <c r="J27" s="181"/>
    </row>
    <row r="28" spans="2:10" s="3" customFormat="1" ht="21.95" customHeight="1" x14ac:dyDescent="0.25">
      <c r="B28" s="145" t="s">
        <v>153</v>
      </c>
      <c r="C28" s="146"/>
      <c r="D28" s="146"/>
      <c r="E28" s="146"/>
      <c r="F28" s="147"/>
      <c r="G28" s="162">
        <f>SUM(G9:J27)</f>
        <v>0</v>
      </c>
      <c r="H28" s="163"/>
      <c r="I28" s="163"/>
      <c r="J28" s="164"/>
    </row>
    <row r="29" spans="2:10" s="3" customFormat="1" ht="21.95" customHeight="1" x14ac:dyDescent="0.25">
      <c r="B29" s="145" t="s">
        <v>154</v>
      </c>
      <c r="C29" s="146"/>
      <c r="D29" s="146"/>
      <c r="E29" s="146"/>
      <c r="F29" s="147"/>
      <c r="G29" s="162">
        <f>G28*4</f>
        <v>0</v>
      </c>
      <c r="H29" s="163"/>
      <c r="I29" s="163"/>
      <c r="J29" s="164"/>
    </row>
    <row r="30" spans="2:10" x14ac:dyDescent="0.2">
      <c r="D30" s="1"/>
      <c r="E30" s="1"/>
      <c r="F30" s="1"/>
      <c r="G30" s="1"/>
      <c r="H30" s="1"/>
      <c r="I30" s="1"/>
      <c r="J30" s="1"/>
    </row>
    <row r="31" spans="2:10" ht="27" customHeight="1" x14ac:dyDescent="0.25">
      <c r="C31" s="10" t="s">
        <v>28</v>
      </c>
    </row>
    <row r="33" spans="2:10" s="59" customFormat="1" ht="15" x14ac:dyDescent="0.25">
      <c r="B33" s="56">
        <v>1</v>
      </c>
      <c r="C33" s="57" t="s">
        <v>209</v>
      </c>
      <c r="D33" s="56"/>
      <c r="E33" s="56"/>
      <c r="F33" s="56"/>
      <c r="G33" s="56"/>
      <c r="H33" s="58"/>
      <c r="I33" s="58"/>
      <c r="J33" s="58"/>
    </row>
    <row r="34" spans="2:10" s="4" customFormat="1" ht="25.5" customHeight="1" x14ac:dyDescent="0.25">
      <c r="B34" s="7"/>
      <c r="C34" s="141" t="s">
        <v>573</v>
      </c>
      <c r="D34" s="141"/>
      <c r="E34" s="141"/>
      <c r="F34" s="141"/>
      <c r="G34" s="141"/>
      <c r="H34" s="141"/>
      <c r="I34" s="141"/>
      <c r="J34" s="141"/>
    </row>
    <row r="35" spans="2:10" ht="42.75" x14ac:dyDescent="0.2">
      <c r="B35" s="8" t="s">
        <v>0</v>
      </c>
      <c r="C35" s="12" t="s">
        <v>24</v>
      </c>
      <c r="D35" s="27" t="s">
        <v>30</v>
      </c>
      <c r="E35" s="27" t="s">
        <v>48</v>
      </c>
      <c r="F35" s="27" t="s">
        <v>29</v>
      </c>
      <c r="G35" s="27" t="s">
        <v>26</v>
      </c>
      <c r="H35" s="27" t="s">
        <v>25</v>
      </c>
      <c r="I35" s="27" t="s">
        <v>31</v>
      </c>
      <c r="J35" s="27" t="s">
        <v>27</v>
      </c>
    </row>
    <row r="36" spans="2:10" s="4" customFormat="1" ht="28.5" x14ac:dyDescent="0.25">
      <c r="B36" s="43" t="s">
        <v>118</v>
      </c>
      <c r="C36" s="17" t="s">
        <v>213</v>
      </c>
      <c r="D36" s="25" t="s">
        <v>56</v>
      </c>
      <c r="E36" s="25" t="s">
        <v>95</v>
      </c>
      <c r="F36" s="25">
        <v>8</v>
      </c>
      <c r="G36" s="123"/>
      <c r="H36" s="25">
        <v>1</v>
      </c>
      <c r="I36" s="39">
        <f>H36*G36*F36</f>
        <v>0</v>
      </c>
      <c r="J36" s="28" t="s">
        <v>214</v>
      </c>
    </row>
    <row r="37" spans="2:10" s="3" customFormat="1" ht="15" customHeight="1" x14ac:dyDescent="0.25">
      <c r="B37" s="138" t="s">
        <v>33</v>
      </c>
      <c r="C37" s="139"/>
      <c r="D37" s="139"/>
      <c r="E37" s="139"/>
      <c r="F37" s="139"/>
      <c r="G37" s="139"/>
      <c r="H37" s="140"/>
      <c r="I37" s="19">
        <f>SUM(I36:I36)</f>
        <v>0</v>
      </c>
      <c r="J37" s="14"/>
    </row>
    <row r="39" spans="2:10" s="59" customFormat="1" ht="15" x14ac:dyDescent="0.25">
      <c r="B39" s="56">
        <v>2</v>
      </c>
      <c r="C39" s="57" t="s">
        <v>211</v>
      </c>
      <c r="D39" s="56"/>
      <c r="E39" s="56"/>
      <c r="F39" s="56"/>
      <c r="G39" s="56"/>
      <c r="H39" s="58"/>
      <c r="I39" s="58"/>
      <c r="J39" s="58"/>
    </row>
    <row r="40" spans="2:10" s="4" customFormat="1" ht="25.5" customHeight="1" x14ac:dyDescent="0.25">
      <c r="B40" s="7"/>
      <c r="C40" s="141" t="s">
        <v>212</v>
      </c>
      <c r="D40" s="141"/>
      <c r="E40" s="141"/>
      <c r="F40" s="141"/>
      <c r="G40" s="141"/>
      <c r="H40" s="141"/>
      <c r="I40" s="141"/>
      <c r="J40" s="141"/>
    </row>
    <row r="41" spans="2:10" ht="42.75" x14ac:dyDescent="0.2">
      <c r="B41" s="8" t="s">
        <v>0</v>
      </c>
      <c r="C41" s="12" t="s">
        <v>24</v>
      </c>
      <c r="D41" s="27" t="s">
        <v>30</v>
      </c>
      <c r="E41" s="27" t="s">
        <v>48</v>
      </c>
      <c r="F41" s="27" t="s">
        <v>29</v>
      </c>
      <c r="G41" s="27" t="s">
        <v>26</v>
      </c>
      <c r="H41" s="27" t="s">
        <v>25</v>
      </c>
      <c r="I41" s="27" t="s">
        <v>31</v>
      </c>
      <c r="J41" s="27" t="s">
        <v>27</v>
      </c>
    </row>
    <row r="42" spans="2:10" s="4" customFormat="1" ht="114" x14ac:dyDescent="0.25">
      <c r="B42" s="43" t="s">
        <v>119</v>
      </c>
      <c r="C42" s="17" t="s">
        <v>74</v>
      </c>
      <c r="D42" s="25" t="s">
        <v>56</v>
      </c>
      <c r="E42" s="25" t="s">
        <v>39</v>
      </c>
      <c r="F42" s="25">
        <v>8</v>
      </c>
      <c r="G42" s="123"/>
      <c r="H42" s="25">
        <v>1</v>
      </c>
      <c r="I42" s="39">
        <f>H42*G42*F42</f>
        <v>0</v>
      </c>
      <c r="J42" s="28" t="s">
        <v>78</v>
      </c>
    </row>
    <row r="43" spans="2:10" s="3" customFormat="1" ht="15" customHeight="1" x14ac:dyDescent="0.25">
      <c r="B43" s="138" t="s">
        <v>33</v>
      </c>
      <c r="C43" s="139"/>
      <c r="D43" s="139"/>
      <c r="E43" s="139"/>
      <c r="F43" s="139"/>
      <c r="G43" s="139"/>
      <c r="H43" s="140"/>
      <c r="I43" s="19">
        <f>SUM(I42)</f>
        <v>0</v>
      </c>
      <c r="J43" s="14"/>
    </row>
    <row r="45" spans="2:10" s="59" customFormat="1" ht="15" x14ac:dyDescent="0.25">
      <c r="B45" s="56">
        <v>3</v>
      </c>
      <c r="C45" s="57" t="s">
        <v>215</v>
      </c>
      <c r="D45" s="56"/>
      <c r="E45" s="56"/>
      <c r="F45" s="56"/>
      <c r="G45" s="56"/>
      <c r="H45" s="58"/>
      <c r="I45" s="58"/>
      <c r="J45" s="58"/>
    </row>
    <row r="46" spans="2:10" s="4" customFormat="1" ht="25.5" customHeight="1" x14ac:dyDescent="0.25">
      <c r="B46" s="7"/>
      <c r="C46" s="141" t="s">
        <v>217</v>
      </c>
      <c r="D46" s="141"/>
      <c r="E46" s="141"/>
      <c r="F46" s="141"/>
      <c r="G46" s="141"/>
      <c r="H46" s="141"/>
      <c r="I46" s="141"/>
      <c r="J46" s="141"/>
    </row>
    <row r="47" spans="2:10" ht="42.75" x14ac:dyDescent="0.2">
      <c r="B47" s="8" t="s">
        <v>0</v>
      </c>
      <c r="C47" s="12" t="s">
        <v>24</v>
      </c>
      <c r="D47" s="27" t="s">
        <v>30</v>
      </c>
      <c r="E47" s="27" t="s">
        <v>48</v>
      </c>
      <c r="F47" s="27" t="s">
        <v>29</v>
      </c>
      <c r="G47" s="27" t="s">
        <v>26</v>
      </c>
      <c r="H47" s="27" t="s">
        <v>25</v>
      </c>
      <c r="I47" s="27" t="s">
        <v>31</v>
      </c>
      <c r="J47" s="27" t="s">
        <v>27</v>
      </c>
    </row>
    <row r="48" spans="2:10" s="32" customFormat="1" ht="43.5" customHeight="1" x14ac:dyDescent="0.25">
      <c r="B48" s="67" t="s">
        <v>120</v>
      </c>
      <c r="C48" s="29" t="s">
        <v>218</v>
      </c>
      <c r="D48" s="66" t="s">
        <v>56</v>
      </c>
      <c r="E48" s="66" t="s">
        <v>39</v>
      </c>
      <c r="F48" s="66">
        <v>2</v>
      </c>
      <c r="G48" s="124"/>
      <c r="H48" s="66">
        <v>0.25</v>
      </c>
      <c r="I48" s="31">
        <f>H48*G48*F48</f>
        <v>0</v>
      </c>
      <c r="J48" s="74" t="s">
        <v>535</v>
      </c>
    </row>
    <row r="49" spans="2:10" s="3" customFormat="1" ht="15" customHeight="1" x14ac:dyDescent="0.25">
      <c r="B49" s="138" t="s">
        <v>33</v>
      </c>
      <c r="C49" s="139"/>
      <c r="D49" s="139"/>
      <c r="E49" s="139"/>
      <c r="F49" s="139"/>
      <c r="G49" s="139"/>
      <c r="H49" s="140"/>
      <c r="I49" s="19">
        <f>SUM(I48)</f>
        <v>0</v>
      </c>
      <c r="J49" s="14"/>
    </row>
    <row r="51" spans="2:10" s="59" customFormat="1" ht="15" x14ac:dyDescent="0.25">
      <c r="B51" s="56">
        <v>4</v>
      </c>
      <c r="C51" s="57" t="s">
        <v>9</v>
      </c>
      <c r="D51" s="56"/>
      <c r="E51" s="56"/>
      <c r="F51" s="56"/>
      <c r="G51" s="56"/>
      <c r="H51" s="58"/>
      <c r="I51" s="58"/>
      <c r="J51" s="58"/>
    </row>
    <row r="52" spans="2:10" s="4" customFormat="1" ht="24.75" customHeight="1" x14ac:dyDescent="0.25">
      <c r="B52" s="7"/>
      <c r="C52" s="141" t="s">
        <v>536</v>
      </c>
      <c r="D52" s="141"/>
      <c r="E52" s="141"/>
      <c r="F52" s="141"/>
      <c r="G52" s="141"/>
      <c r="H52" s="141"/>
      <c r="I52" s="141"/>
      <c r="J52" s="141"/>
    </row>
    <row r="53" spans="2:10" ht="42.75" x14ac:dyDescent="0.2">
      <c r="B53" s="8" t="s">
        <v>0</v>
      </c>
      <c r="C53" s="12" t="s">
        <v>24</v>
      </c>
      <c r="D53" s="27" t="s">
        <v>30</v>
      </c>
      <c r="E53" s="27" t="s">
        <v>48</v>
      </c>
      <c r="F53" s="27" t="s">
        <v>29</v>
      </c>
      <c r="G53" s="27" t="s">
        <v>26</v>
      </c>
      <c r="H53" s="27" t="s">
        <v>25</v>
      </c>
      <c r="I53" s="27" t="s">
        <v>31</v>
      </c>
      <c r="J53" s="27" t="s">
        <v>27</v>
      </c>
    </row>
    <row r="54" spans="2:10" s="4" customFormat="1" ht="28.5" x14ac:dyDescent="0.25">
      <c r="B54" s="43" t="s">
        <v>125</v>
      </c>
      <c r="C54" s="17" t="s">
        <v>77</v>
      </c>
      <c r="D54" s="25">
        <v>185804214</v>
      </c>
      <c r="E54" s="25" t="s">
        <v>50</v>
      </c>
      <c r="F54" s="25">
        <f>118*0.3</f>
        <v>35.4</v>
      </c>
      <c r="G54" s="123"/>
      <c r="H54" s="25">
        <v>2</v>
      </c>
      <c r="I54" s="39">
        <f>H54*G54*F54</f>
        <v>0</v>
      </c>
      <c r="J54" s="28" t="s">
        <v>224</v>
      </c>
    </row>
    <row r="55" spans="2:10" s="4" customFormat="1" ht="42.75" x14ac:dyDescent="0.25">
      <c r="B55" s="43" t="s">
        <v>126</v>
      </c>
      <c r="C55" s="17" t="s">
        <v>64</v>
      </c>
      <c r="D55" s="25">
        <v>184803113</v>
      </c>
      <c r="E55" s="25" t="s">
        <v>50</v>
      </c>
      <c r="F55" s="25">
        <v>118</v>
      </c>
      <c r="G55" s="123"/>
      <c r="H55" s="25">
        <v>1</v>
      </c>
      <c r="I55" s="39">
        <f>H55*G55*F55</f>
        <v>0</v>
      </c>
      <c r="J55" s="77" t="s">
        <v>537</v>
      </c>
    </row>
    <row r="56" spans="2:10" s="3" customFormat="1" ht="15" customHeight="1" x14ac:dyDescent="0.25">
      <c r="B56" s="138" t="s">
        <v>33</v>
      </c>
      <c r="C56" s="139"/>
      <c r="D56" s="139"/>
      <c r="E56" s="139"/>
      <c r="F56" s="139"/>
      <c r="G56" s="139"/>
      <c r="H56" s="140"/>
      <c r="I56" s="19">
        <f>SUM(I54:I55)</f>
        <v>0</v>
      </c>
      <c r="J56" s="14"/>
    </row>
    <row r="58" spans="2:10" s="3" customFormat="1" ht="15" x14ac:dyDescent="0.25">
      <c r="B58" s="11">
        <v>5</v>
      </c>
      <c r="C58" s="3" t="s">
        <v>10</v>
      </c>
      <c r="D58" s="191" t="s">
        <v>574</v>
      </c>
      <c r="E58" s="191"/>
      <c r="F58" s="191"/>
      <c r="G58" s="191"/>
      <c r="H58" s="11"/>
      <c r="I58" s="11"/>
      <c r="J58" s="11"/>
    </row>
    <row r="60" spans="2:10" s="59" customFormat="1" ht="15" x14ac:dyDescent="0.25">
      <c r="B60" s="56">
        <v>6</v>
      </c>
      <c r="C60" s="57" t="s">
        <v>208</v>
      </c>
      <c r="D60" s="56"/>
      <c r="E60" s="56"/>
      <c r="F60" s="56"/>
      <c r="G60" s="56"/>
      <c r="H60" s="58"/>
      <c r="I60" s="58"/>
      <c r="J60" s="58"/>
    </row>
    <row r="61" spans="2:10" s="4" customFormat="1" ht="37.5" customHeight="1" x14ac:dyDescent="0.25">
      <c r="B61" s="7"/>
      <c r="C61" s="141" t="s">
        <v>538</v>
      </c>
      <c r="D61" s="141"/>
      <c r="E61" s="141"/>
      <c r="F61" s="141"/>
      <c r="G61" s="141"/>
      <c r="H61" s="141"/>
      <c r="I61" s="141"/>
      <c r="J61" s="141"/>
    </row>
    <row r="62" spans="2:10" ht="42.75" x14ac:dyDescent="0.2">
      <c r="B62" s="8" t="s">
        <v>0</v>
      </c>
      <c r="C62" s="12" t="s">
        <v>24</v>
      </c>
      <c r="D62" s="27" t="s">
        <v>30</v>
      </c>
      <c r="E62" s="27" t="s">
        <v>48</v>
      </c>
      <c r="F62" s="27" t="s">
        <v>29</v>
      </c>
      <c r="G62" s="27" t="s">
        <v>26</v>
      </c>
      <c r="H62" s="27" t="s">
        <v>25</v>
      </c>
      <c r="I62" s="27" t="s">
        <v>31</v>
      </c>
      <c r="J62" s="27" t="s">
        <v>27</v>
      </c>
    </row>
    <row r="63" spans="2:10" s="4" customFormat="1" ht="28.5" x14ac:dyDescent="0.25">
      <c r="B63" s="43" t="s">
        <v>138</v>
      </c>
      <c r="C63" s="17" t="s">
        <v>82</v>
      </c>
      <c r="D63" s="25" t="s">
        <v>56</v>
      </c>
      <c r="E63" s="25" t="s">
        <v>50</v>
      </c>
      <c r="F63" s="25">
        <v>6</v>
      </c>
      <c r="G63" s="123"/>
      <c r="H63" s="25">
        <v>1</v>
      </c>
      <c r="I63" s="39">
        <f>H63*G63*F63</f>
        <v>0</v>
      </c>
      <c r="J63" s="77" t="s">
        <v>539</v>
      </c>
    </row>
    <row r="64" spans="2:10" s="4" customFormat="1" ht="28.5" x14ac:dyDescent="0.25">
      <c r="B64" s="43" t="s">
        <v>139</v>
      </c>
      <c r="C64" s="17" t="s">
        <v>77</v>
      </c>
      <c r="D64" s="25">
        <v>185804214</v>
      </c>
      <c r="E64" s="25" t="s">
        <v>50</v>
      </c>
      <c r="F64" s="25">
        <v>6</v>
      </c>
      <c r="G64" s="123"/>
      <c r="H64" s="25">
        <v>3</v>
      </c>
      <c r="I64" s="39">
        <f>H64*G64*F64</f>
        <v>0</v>
      </c>
      <c r="J64" s="28"/>
    </row>
    <row r="65" spans="2:11" s="3" customFormat="1" ht="15" customHeight="1" x14ac:dyDescent="0.25">
      <c r="B65" s="138" t="s">
        <v>33</v>
      </c>
      <c r="C65" s="139"/>
      <c r="D65" s="139"/>
      <c r="E65" s="139"/>
      <c r="F65" s="139"/>
      <c r="G65" s="139"/>
      <c r="H65" s="140"/>
      <c r="I65" s="19">
        <f>SUM(I63:I64)</f>
        <v>0</v>
      </c>
      <c r="J65" s="14"/>
    </row>
    <row r="67" spans="2:11" s="59" customFormat="1" ht="15" x14ac:dyDescent="0.25">
      <c r="B67" s="56">
        <v>7</v>
      </c>
      <c r="C67" s="57" t="s">
        <v>35</v>
      </c>
      <c r="D67" s="56"/>
      <c r="E67" s="56"/>
      <c r="F67" s="56"/>
      <c r="G67" s="56"/>
      <c r="H67" s="58"/>
      <c r="I67" s="58"/>
      <c r="J67" s="58"/>
    </row>
    <row r="68" spans="2:11" s="4" customFormat="1" ht="28.5" customHeight="1" x14ac:dyDescent="0.25">
      <c r="B68" s="7"/>
      <c r="C68" s="141" t="s">
        <v>219</v>
      </c>
      <c r="D68" s="141"/>
      <c r="E68" s="141"/>
      <c r="F68" s="141"/>
      <c r="G68" s="141"/>
      <c r="H68" s="141"/>
      <c r="I68" s="141"/>
      <c r="J68" s="141"/>
    </row>
    <row r="69" spans="2:11" ht="42.75" x14ac:dyDescent="0.2">
      <c r="B69" s="8" t="s">
        <v>0</v>
      </c>
      <c r="C69" s="12" t="s">
        <v>24</v>
      </c>
      <c r="D69" s="27" t="s">
        <v>30</v>
      </c>
      <c r="E69" s="27" t="s">
        <v>48</v>
      </c>
      <c r="F69" s="27" t="s">
        <v>29</v>
      </c>
      <c r="G69" s="27" t="s">
        <v>26</v>
      </c>
      <c r="H69" s="27" t="s">
        <v>25</v>
      </c>
      <c r="I69" s="27" t="s">
        <v>31</v>
      </c>
      <c r="J69" s="27" t="s">
        <v>27</v>
      </c>
    </row>
    <row r="70" spans="2:11" s="4" customFormat="1" ht="28.5" x14ac:dyDescent="0.25">
      <c r="B70" s="43" t="s">
        <v>141</v>
      </c>
      <c r="C70" s="17" t="s">
        <v>220</v>
      </c>
      <c r="D70" s="25" t="s">
        <v>56</v>
      </c>
      <c r="E70" s="25" t="s">
        <v>42</v>
      </c>
      <c r="F70" s="25">
        <v>2</v>
      </c>
      <c r="G70" s="123"/>
      <c r="H70" s="25">
        <v>8</v>
      </c>
      <c r="I70" s="39">
        <f>F70*G70*H70</f>
        <v>0</v>
      </c>
      <c r="J70" s="25"/>
    </row>
    <row r="71" spans="2:11" s="81" customFormat="1" ht="42.75" x14ac:dyDescent="0.25">
      <c r="B71" s="43" t="s">
        <v>142</v>
      </c>
      <c r="C71" s="36" t="s">
        <v>71</v>
      </c>
      <c r="D71" s="76">
        <v>185811221</v>
      </c>
      <c r="E71" s="76" t="s">
        <v>50</v>
      </c>
      <c r="F71" s="76">
        <v>5384</v>
      </c>
      <c r="G71" s="125"/>
      <c r="H71" s="76">
        <v>1</v>
      </c>
      <c r="I71" s="78">
        <f t="shared" ref="I71" si="0">F71*G71*H71</f>
        <v>0</v>
      </c>
      <c r="J71" s="6" t="s">
        <v>540</v>
      </c>
      <c r="K71" s="97"/>
    </row>
    <row r="72" spans="2:11" s="81" customFormat="1" ht="71.25" x14ac:dyDescent="0.25">
      <c r="B72" s="43" t="s">
        <v>143</v>
      </c>
      <c r="C72" s="36" t="s">
        <v>63</v>
      </c>
      <c r="D72" s="76">
        <v>183451421</v>
      </c>
      <c r="E72" s="76" t="s">
        <v>50</v>
      </c>
      <c r="F72" s="76">
        <v>7797</v>
      </c>
      <c r="G72" s="125"/>
      <c r="H72" s="76">
        <v>0.5</v>
      </c>
      <c r="I72" s="78">
        <f>F72*G72*H72</f>
        <v>0</v>
      </c>
      <c r="J72" s="6" t="s">
        <v>541</v>
      </c>
    </row>
    <row r="73" spans="2:11" s="81" customFormat="1" ht="57" x14ac:dyDescent="0.25">
      <c r="B73" s="43" t="s">
        <v>144</v>
      </c>
      <c r="C73" s="36" t="s">
        <v>108</v>
      </c>
      <c r="D73" s="76">
        <v>183451351</v>
      </c>
      <c r="E73" s="76" t="s">
        <v>50</v>
      </c>
      <c r="F73" s="76">
        <v>7797</v>
      </c>
      <c r="G73" s="125"/>
      <c r="H73" s="76">
        <v>0.5</v>
      </c>
      <c r="I73" s="78">
        <f>F73*G73*H73</f>
        <v>0</v>
      </c>
      <c r="J73" s="6" t="s">
        <v>481</v>
      </c>
    </row>
    <row r="74" spans="2:11" s="4" customFormat="1" ht="73.5" x14ac:dyDescent="0.25">
      <c r="B74" s="43" t="s">
        <v>145</v>
      </c>
      <c r="C74" s="29" t="s">
        <v>75</v>
      </c>
      <c r="D74" s="30">
        <v>185802113</v>
      </c>
      <c r="E74" s="30" t="s">
        <v>37</v>
      </c>
      <c r="F74" s="25">
        <f>(F72*20)/1000000</f>
        <v>0.15594</v>
      </c>
      <c r="G74" s="123"/>
      <c r="H74" s="25">
        <v>1</v>
      </c>
      <c r="I74" s="39">
        <f>F74*G74*H74</f>
        <v>0</v>
      </c>
      <c r="J74" s="6" t="s">
        <v>482</v>
      </c>
      <c r="K74" s="40"/>
    </row>
    <row r="75" spans="2:11" s="4" customFormat="1" ht="18.75" customHeight="1" x14ac:dyDescent="0.2">
      <c r="B75" s="43" t="s">
        <v>146</v>
      </c>
      <c r="C75" s="2" t="s">
        <v>83</v>
      </c>
      <c r="D75" s="35">
        <v>251911550</v>
      </c>
      <c r="E75" s="25" t="s">
        <v>57</v>
      </c>
      <c r="F75" s="119">
        <f>(F72*20)/1000</f>
        <v>155.94</v>
      </c>
      <c r="G75" s="123"/>
      <c r="H75" s="25">
        <v>1</v>
      </c>
      <c r="I75" s="39">
        <f>F75*G75*H75</f>
        <v>0</v>
      </c>
      <c r="J75" s="25"/>
      <c r="K75" s="41"/>
    </row>
    <row r="76" spans="2:11" s="4" customFormat="1" ht="28.5" x14ac:dyDescent="0.25">
      <c r="B76" s="43" t="s">
        <v>147</v>
      </c>
      <c r="C76" s="17" t="s">
        <v>513</v>
      </c>
      <c r="D76" s="76" t="s">
        <v>84</v>
      </c>
      <c r="E76" s="70" t="s">
        <v>39</v>
      </c>
      <c r="F76" s="70">
        <v>1</v>
      </c>
      <c r="G76" s="123"/>
      <c r="H76" s="70">
        <v>8</v>
      </c>
      <c r="I76" s="73">
        <f>F76*G76*H76</f>
        <v>0</v>
      </c>
      <c r="J76" s="77"/>
      <c r="K76" s="80"/>
    </row>
    <row r="77" spans="2:11" s="3" customFormat="1" ht="15" customHeight="1" x14ac:dyDescent="0.25">
      <c r="B77" s="138" t="s">
        <v>33</v>
      </c>
      <c r="C77" s="139"/>
      <c r="D77" s="139"/>
      <c r="E77" s="139"/>
      <c r="F77" s="139"/>
      <c r="G77" s="139"/>
      <c r="H77" s="140"/>
      <c r="I77" s="19">
        <f>SUM(I70:I76)</f>
        <v>0</v>
      </c>
      <c r="J77" s="14"/>
    </row>
    <row r="79" spans="2:11" s="3" customFormat="1" ht="15" x14ac:dyDescent="0.25">
      <c r="B79" s="11">
        <v>8</v>
      </c>
      <c r="C79" s="3" t="s">
        <v>228</v>
      </c>
      <c r="D79" s="11"/>
      <c r="E79" s="11"/>
      <c r="F79" s="11"/>
      <c r="G79" s="11"/>
      <c r="H79" s="11"/>
      <c r="I79" s="11"/>
      <c r="J79" s="11"/>
    </row>
    <row r="80" spans="2:11" s="40" customFormat="1" ht="34.5" customHeight="1" x14ac:dyDescent="0.25">
      <c r="B80" s="42"/>
      <c r="C80" s="190" t="s">
        <v>542</v>
      </c>
      <c r="D80" s="190"/>
      <c r="E80" s="190"/>
      <c r="F80" s="190"/>
      <c r="G80" s="190"/>
      <c r="H80" s="190"/>
      <c r="I80" s="190"/>
      <c r="J80" s="190"/>
    </row>
    <row r="81" spans="2:10" s="40" customFormat="1" ht="13.5" customHeight="1" x14ac:dyDescent="0.25">
      <c r="B81" s="42"/>
      <c r="C81" s="63"/>
      <c r="D81" s="63"/>
      <c r="E81" s="63"/>
      <c r="F81" s="63"/>
      <c r="G81" s="63"/>
      <c r="H81" s="63"/>
      <c r="I81" s="63"/>
      <c r="J81" s="63"/>
    </row>
    <row r="82" spans="2:10" s="61" customFormat="1" ht="15" x14ac:dyDescent="0.25">
      <c r="B82" s="60" t="s">
        <v>231</v>
      </c>
      <c r="C82" s="61" t="s">
        <v>206</v>
      </c>
      <c r="D82" s="62"/>
      <c r="E82" s="62"/>
      <c r="F82" s="62"/>
      <c r="G82" s="62"/>
      <c r="H82" s="62"/>
      <c r="I82" s="62"/>
      <c r="J82" s="62"/>
    </row>
    <row r="83" spans="2:10" s="4" customFormat="1" ht="24" customHeight="1" x14ac:dyDescent="0.25">
      <c r="B83" s="7"/>
      <c r="C83" s="165" t="s">
        <v>232</v>
      </c>
      <c r="D83" s="165"/>
      <c r="E83" s="165"/>
      <c r="F83" s="165"/>
      <c r="G83" s="165"/>
      <c r="H83" s="165"/>
      <c r="I83" s="165"/>
      <c r="J83" s="165"/>
    </row>
    <row r="84" spans="2:10" ht="42.75" x14ac:dyDescent="0.2">
      <c r="B84" s="8" t="s">
        <v>0</v>
      </c>
      <c r="C84" s="12" t="s">
        <v>24</v>
      </c>
      <c r="D84" s="27" t="s">
        <v>30</v>
      </c>
      <c r="E84" s="27" t="s">
        <v>48</v>
      </c>
      <c r="F84" s="27" t="s">
        <v>29</v>
      </c>
      <c r="G84" s="27" t="s">
        <v>26</v>
      </c>
      <c r="H84" s="27" t="s">
        <v>25</v>
      </c>
      <c r="I84" s="27" t="s">
        <v>31</v>
      </c>
      <c r="J84" s="27" t="s">
        <v>27</v>
      </c>
    </row>
    <row r="85" spans="2:10" s="4" customFormat="1" ht="42.75" x14ac:dyDescent="0.25">
      <c r="B85" s="43" t="s">
        <v>233</v>
      </c>
      <c r="C85" s="17" t="s">
        <v>59</v>
      </c>
      <c r="D85" s="25">
        <v>111151131</v>
      </c>
      <c r="E85" s="25" t="s">
        <v>50</v>
      </c>
      <c r="F85" s="25">
        <v>168</v>
      </c>
      <c r="G85" s="123"/>
      <c r="H85" s="76">
        <v>2</v>
      </c>
      <c r="I85" s="39">
        <f t="shared" ref="I85" si="1">H85*G85*F85</f>
        <v>0</v>
      </c>
      <c r="J85" s="28"/>
    </row>
    <row r="86" spans="2:10" s="3" customFormat="1" ht="15" customHeight="1" x14ac:dyDescent="0.25">
      <c r="B86" s="138" t="s">
        <v>33</v>
      </c>
      <c r="C86" s="139"/>
      <c r="D86" s="139"/>
      <c r="E86" s="139"/>
      <c r="F86" s="139"/>
      <c r="G86" s="139"/>
      <c r="H86" s="140"/>
      <c r="I86" s="19">
        <f>SUM(I85)</f>
        <v>0</v>
      </c>
      <c r="J86" s="14"/>
    </row>
    <row r="88" spans="2:10" s="59" customFormat="1" ht="15" x14ac:dyDescent="0.25">
      <c r="B88" s="56">
        <v>9</v>
      </c>
      <c r="C88" s="57" t="s">
        <v>55</v>
      </c>
      <c r="D88" s="56"/>
      <c r="E88" s="56"/>
      <c r="F88" s="56"/>
      <c r="G88" s="56"/>
      <c r="H88" s="58"/>
      <c r="I88" s="58"/>
      <c r="J88" s="58"/>
    </row>
    <row r="89" spans="2:10" s="4" customFormat="1" ht="41.25" customHeight="1" x14ac:dyDescent="0.25">
      <c r="B89" s="7"/>
      <c r="C89" s="141" t="s">
        <v>222</v>
      </c>
      <c r="D89" s="141"/>
      <c r="E89" s="141"/>
      <c r="F89" s="141"/>
      <c r="G89" s="141"/>
      <c r="H89" s="141"/>
      <c r="I89" s="141"/>
      <c r="J89" s="141"/>
    </row>
    <row r="90" spans="2:10" ht="42.75" x14ac:dyDescent="0.2">
      <c r="B90" s="8" t="s">
        <v>0</v>
      </c>
      <c r="C90" s="12" t="s">
        <v>24</v>
      </c>
      <c r="D90" s="27" t="s">
        <v>30</v>
      </c>
      <c r="E90" s="27" t="s">
        <v>48</v>
      </c>
      <c r="F90" s="27" t="s">
        <v>29</v>
      </c>
      <c r="G90" s="27" t="s">
        <v>26</v>
      </c>
      <c r="H90" s="27" t="s">
        <v>25</v>
      </c>
      <c r="I90" s="27" t="s">
        <v>31</v>
      </c>
      <c r="J90" s="27" t="s">
        <v>27</v>
      </c>
    </row>
    <row r="91" spans="2:10" s="4" customFormat="1" ht="28.5" x14ac:dyDescent="0.25">
      <c r="B91" s="43" t="s">
        <v>150</v>
      </c>
      <c r="C91" s="17" t="s">
        <v>105</v>
      </c>
      <c r="D91" s="25">
        <v>184802611</v>
      </c>
      <c r="E91" s="25" t="s">
        <v>32</v>
      </c>
      <c r="F91" s="25">
        <f>1357*0.3</f>
        <v>407.09999999999997</v>
      </c>
      <c r="G91" s="123"/>
      <c r="H91" s="25">
        <v>3</v>
      </c>
      <c r="I91" s="39">
        <f>F91*G91*H91</f>
        <v>0</v>
      </c>
      <c r="J91" s="25" t="s">
        <v>223</v>
      </c>
    </row>
    <row r="92" spans="2:10" s="4" customFormat="1" ht="42.75" x14ac:dyDescent="0.25">
      <c r="B92" s="43" t="s">
        <v>151</v>
      </c>
      <c r="C92" s="17" t="s">
        <v>89</v>
      </c>
      <c r="D92" s="25">
        <v>185811111</v>
      </c>
      <c r="E92" s="25" t="s">
        <v>32</v>
      </c>
      <c r="F92" s="25">
        <f>1357*0.1</f>
        <v>135.70000000000002</v>
      </c>
      <c r="G92" s="123"/>
      <c r="H92" s="25">
        <v>2</v>
      </c>
      <c r="I92" s="39">
        <f>F92*G92*H92</f>
        <v>0</v>
      </c>
      <c r="J92" s="25" t="s">
        <v>189</v>
      </c>
    </row>
    <row r="93" spans="2:10" s="3" customFormat="1" ht="15" customHeight="1" x14ac:dyDescent="0.25">
      <c r="B93" s="138" t="s">
        <v>33</v>
      </c>
      <c r="C93" s="139"/>
      <c r="D93" s="139"/>
      <c r="E93" s="139"/>
      <c r="F93" s="139"/>
      <c r="G93" s="139"/>
      <c r="H93" s="140"/>
      <c r="I93" s="19">
        <f>SUM(I91:I92)</f>
        <v>0</v>
      </c>
      <c r="J93" s="14"/>
    </row>
    <row r="95" spans="2:10" ht="15" x14ac:dyDescent="0.25">
      <c r="B95" s="11">
        <v>10</v>
      </c>
      <c r="C95" s="3" t="s">
        <v>86</v>
      </c>
      <c r="D95" s="11"/>
      <c r="E95" s="11"/>
      <c r="F95" s="11"/>
      <c r="G95" s="11"/>
    </row>
    <row r="96" spans="2:10" s="4" customFormat="1" ht="44.25" customHeight="1" x14ac:dyDescent="0.25">
      <c r="B96" s="7"/>
      <c r="C96" s="141" t="s">
        <v>315</v>
      </c>
      <c r="D96" s="141"/>
      <c r="E96" s="141"/>
      <c r="F96" s="141"/>
      <c r="G96" s="141"/>
      <c r="H96" s="141"/>
      <c r="I96" s="141"/>
      <c r="J96" s="141"/>
    </row>
    <row r="97" spans="2:10" ht="42.75" x14ac:dyDescent="0.2">
      <c r="B97" s="8" t="s">
        <v>0</v>
      </c>
      <c r="C97" s="12" t="s">
        <v>24</v>
      </c>
      <c r="D97" s="27" t="s">
        <v>30</v>
      </c>
      <c r="E97" s="27" t="s">
        <v>48</v>
      </c>
      <c r="F97" s="27" t="s">
        <v>29</v>
      </c>
      <c r="G97" s="27" t="s">
        <v>26</v>
      </c>
      <c r="H97" s="27" t="s">
        <v>25</v>
      </c>
      <c r="I97" s="27" t="s">
        <v>31</v>
      </c>
      <c r="J97" s="27" t="s">
        <v>27</v>
      </c>
    </row>
    <row r="98" spans="2:10" s="4" customFormat="1" ht="36.75" customHeight="1" x14ac:dyDescent="0.25">
      <c r="B98" s="43" t="s">
        <v>225</v>
      </c>
      <c r="C98" s="17" t="s">
        <v>543</v>
      </c>
      <c r="D98" s="25" t="s">
        <v>84</v>
      </c>
      <c r="E98" s="25" t="s">
        <v>39</v>
      </c>
      <c r="F98" s="25">
        <v>10</v>
      </c>
      <c r="G98" s="123"/>
      <c r="H98" s="25">
        <v>28</v>
      </c>
      <c r="I98" s="39">
        <f>H98*G98*F98</f>
        <v>0</v>
      </c>
      <c r="J98" s="25" t="s">
        <v>117</v>
      </c>
    </row>
    <row r="99" spans="2:10" s="4" customFormat="1" ht="42.75" x14ac:dyDescent="0.25">
      <c r="B99" s="43" t="s">
        <v>226</v>
      </c>
      <c r="C99" s="17" t="s">
        <v>116</v>
      </c>
      <c r="D99" s="25" t="s">
        <v>56</v>
      </c>
      <c r="E99" s="25" t="s">
        <v>42</v>
      </c>
      <c r="F99" s="25">
        <v>0.3</v>
      </c>
      <c r="G99" s="123"/>
      <c r="H99" s="25">
        <v>24</v>
      </c>
      <c r="I99" s="39">
        <f>H99*G99*F99</f>
        <v>0</v>
      </c>
      <c r="J99" s="28" t="s">
        <v>113</v>
      </c>
    </row>
    <row r="100" spans="2:10" s="59" customFormat="1" x14ac:dyDescent="0.2">
      <c r="B100" s="55" t="s">
        <v>227</v>
      </c>
      <c r="C100" s="53" t="s">
        <v>87</v>
      </c>
      <c r="D100" s="35" t="s">
        <v>84</v>
      </c>
      <c r="E100" s="35" t="s">
        <v>39</v>
      </c>
      <c r="F100" s="35">
        <v>8</v>
      </c>
      <c r="G100" s="125"/>
      <c r="H100" s="35">
        <v>28</v>
      </c>
      <c r="I100" s="114">
        <f>H100*G100*F100</f>
        <v>0</v>
      </c>
      <c r="J100" s="35"/>
    </row>
    <row r="101" spans="2:10" s="3" customFormat="1" ht="15" customHeight="1" x14ac:dyDescent="0.25">
      <c r="B101" s="138" t="s">
        <v>33</v>
      </c>
      <c r="C101" s="139"/>
      <c r="D101" s="139"/>
      <c r="E101" s="139"/>
      <c r="F101" s="139"/>
      <c r="G101" s="139"/>
      <c r="H101" s="140"/>
      <c r="I101" s="19">
        <f>SUM(I98:I100)</f>
        <v>0</v>
      </c>
      <c r="J101" s="14"/>
    </row>
  </sheetData>
  <sheetProtection algorithmName="SHA-512" hashValue="lpNc6asoiAl3teJa7QQMogxr3Q7pYoAKijZoMgL2bON212wLzeTdBC+BAiR+DO3wcsi0s/4PvkpuaJ9uM7UE2Q==" saltValue="m2FVBdYoigK/0CWy5gA/Vw==" spinCount="100000" sheet="1" objects="1" scenarios="1"/>
  <mergeCells count="67">
    <mergeCell ref="C96:J96"/>
    <mergeCell ref="B101:H101"/>
    <mergeCell ref="C83:J83"/>
    <mergeCell ref="B86:H86"/>
    <mergeCell ref="C19:D19"/>
    <mergeCell ref="C20:D20"/>
    <mergeCell ref="C21:D21"/>
    <mergeCell ref="C22:D22"/>
    <mergeCell ref="C23:D23"/>
    <mergeCell ref="G23:J23"/>
    <mergeCell ref="G24:J24"/>
    <mergeCell ref="G25:J25"/>
    <mergeCell ref="G19:J19"/>
    <mergeCell ref="G20:J20"/>
    <mergeCell ref="G21:J21"/>
    <mergeCell ref="G22:J22"/>
    <mergeCell ref="C61:J61"/>
    <mergeCell ref="B65:H65"/>
    <mergeCell ref="C40:J40"/>
    <mergeCell ref="B43:H43"/>
    <mergeCell ref="C46:J46"/>
    <mergeCell ref="B49:H49"/>
    <mergeCell ref="C52:J52"/>
    <mergeCell ref="B56:H56"/>
    <mergeCell ref="D58:G58"/>
    <mergeCell ref="C68:J68"/>
    <mergeCell ref="B77:H77"/>
    <mergeCell ref="C89:J89"/>
    <mergeCell ref="B93:H93"/>
    <mergeCell ref="C80:J80"/>
    <mergeCell ref="C34:J34"/>
    <mergeCell ref="B37:H37"/>
    <mergeCell ref="C16:D16"/>
    <mergeCell ref="G16:J16"/>
    <mergeCell ref="C27:D27"/>
    <mergeCell ref="G27:J27"/>
    <mergeCell ref="B28:F28"/>
    <mergeCell ref="G28:J28"/>
    <mergeCell ref="C26:D26"/>
    <mergeCell ref="G26:J26"/>
    <mergeCell ref="C24:D24"/>
    <mergeCell ref="C25:D25"/>
    <mergeCell ref="C17:D17"/>
    <mergeCell ref="C18:D18"/>
    <mergeCell ref="G17:J17"/>
    <mergeCell ref="G18:J18"/>
    <mergeCell ref="C14:D14"/>
    <mergeCell ref="G14:J14"/>
    <mergeCell ref="C15:D15"/>
    <mergeCell ref="G15:J15"/>
    <mergeCell ref="B29:F29"/>
    <mergeCell ref="G29:J29"/>
    <mergeCell ref="C9:D9"/>
    <mergeCell ref="G9:J9"/>
    <mergeCell ref="B4:C4"/>
    <mergeCell ref="D4:J4"/>
    <mergeCell ref="B5:J5"/>
    <mergeCell ref="C8:D8"/>
    <mergeCell ref="G8:J8"/>
    <mergeCell ref="C13:D13"/>
    <mergeCell ref="G13:J13"/>
    <mergeCell ref="C10:D10"/>
    <mergeCell ref="G10:J10"/>
    <mergeCell ref="C11:D11"/>
    <mergeCell ref="G11:J11"/>
    <mergeCell ref="C12:D12"/>
    <mergeCell ref="G12:J12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0" orientation="portrait" r:id="rId1"/>
  <headerFooter>
    <oddHeader>&amp;CPLÁN ÚDRŽBY NA POZEMCÍCH SPRÁVY KRNAP VE VRCHLABÍ</oddHeader>
  </headerFooter>
  <rowBreaks count="2" manualBreakCount="2">
    <brk id="44" min="1" max="9" man="1"/>
    <brk id="73" min="1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03"/>
  <sheetViews>
    <sheetView zoomScale="80" zoomScaleNormal="80" zoomScaleSheetLayoutView="100" workbookViewId="0">
      <selection activeCell="G100" activeCellId="8" sqref="G26 G32:G36 G42:G47 G53 G59:G64 G70:G77 G83:G86 G92:G94 G100:G102"/>
    </sheetView>
  </sheetViews>
  <sheetFormatPr defaultRowHeight="14.25" x14ac:dyDescent="0.2"/>
  <cols>
    <col min="1" max="1" width="9.140625" style="1"/>
    <col min="2" max="2" width="9.140625" style="9"/>
    <col min="3" max="3" width="36.5703125" style="1" customWidth="1"/>
    <col min="4" max="4" width="13" style="9" customWidth="1"/>
    <col min="5" max="5" width="6.5703125" style="9" customWidth="1"/>
    <col min="6" max="6" width="11.28515625" style="9" customWidth="1"/>
    <col min="7" max="7" width="13.7109375" style="9" customWidth="1"/>
    <col min="8" max="8" width="11" style="9" customWidth="1"/>
    <col min="9" max="9" width="14.5703125" style="9" customWidth="1"/>
    <col min="10" max="10" width="33.42578125" style="9" customWidth="1"/>
    <col min="11" max="13" width="9.140625" style="1"/>
    <col min="14" max="14" width="21" style="1" customWidth="1"/>
    <col min="15" max="15" width="26.7109375" style="1" customWidth="1"/>
    <col min="16" max="16384" width="9.140625" style="1"/>
  </cols>
  <sheetData>
    <row r="2" spans="2:10" ht="27" customHeight="1" x14ac:dyDescent="0.25">
      <c r="B2" s="16" t="s">
        <v>52</v>
      </c>
      <c r="C2" s="10"/>
    </row>
    <row r="3" spans="2:10" ht="17.25" customHeight="1" x14ac:dyDescent="0.25">
      <c r="C3" s="10"/>
    </row>
    <row r="4" spans="2:10" ht="18" x14ac:dyDescent="0.25">
      <c r="B4" s="152" t="s">
        <v>54</v>
      </c>
      <c r="C4" s="152"/>
      <c r="D4" s="153">
        <v>4</v>
      </c>
      <c r="E4" s="153"/>
      <c r="F4" s="153"/>
      <c r="G4" s="153"/>
      <c r="H4" s="153"/>
      <c r="I4" s="153"/>
      <c r="J4" s="153"/>
    </row>
    <row r="5" spans="2:10" ht="34.5" customHeight="1" x14ac:dyDescent="0.2">
      <c r="B5" s="154" t="s">
        <v>15</v>
      </c>
      <c r="C5" s="155"/>
      <c r="D5" s="155"/>
      <c r="E5" s="155"/>
      <c r="F5" s="155"/>
      <c r="G5" s="155"/>
      <c r="H5" s="155"/>
      <c r="I5" s="155"/>
      <c r="J5" s="156"/>
    </row>
    <row r="7" spans="2:10" ht="15" x14ac:dyDescent="0.25">
      <c r="B7" s="15" t="s">
        <v>152</v>
      </c>
      <c r="C7" s="3"/>
      <c r="D7" s="1"/>
      <c r="E7" s="1"/>
      <c r="F7" s="1"/>
      <c r="G7" s="1"/>
      <c r="H7" s="1"/>
      <c r="I7" s="1"/>
      <c r="J7" s="1"/>
    </row>
    <row r="8" spans="2:10" s="4" customFormat="1" ht="19.5" customHeight="1" x14ac:dyDescent="0.25">
      <c r="B8" s="8" t="s">
        <v>53</v>
      </c>
      <c r="C8" s="176" t="s">
        <v>14</v>
      </c>
      <c r="D8" s="177"/>
      <c r="E8" s="8" t="s">
        <v>48</v>
      </c>
      <c r="F8" s="13" t="s">
        <v>49</v>
      </c>
      <c r="G8" s="158" t="s">
        <v>51</v>
      </c>
      <c r="H8" s="158"/>
      <c r="I8" s="158"/>
      <c r="J8" s="158"/>
    </row>
    <row r="9" spans="2:10" x14ac:dyDescent="0.2">
      <c r="B9" s="21">
        <v>1</v>
      </c>
      <c r="C9" s="151" t="s">
        <v>47</v>
      </c>
      <c r="D9" s="151"/>
      <c r="E9" s="20" t="s">
        <v>39</v>
      </c>
      <c r="F9" s="99">
        <v>12</v>
      </c>
      <c r="G9" s="161">
        <f>I27</f>
        <v>0</v>
      </c>
      <c r="H9" s="161"/>
      <c r="I9" s="161"/>
      <c r="J9" s="161"/>
    </row>
    <row r="10" spans="2:10" ht="16.5" x14ac:dyDescent="0.2">
      <c r="B10" s="21">
        <v>2</v>
      </c>
      <c r="C10" s="151" t="s">
        <v>7</v>
      </c>
      <c r="D10" s="151"/>
      <c r="E10" s="20" t="s">
        <v>50</v>
      </c>
      <c r="F10" s="99">
        <v>38</v>
      </c>
      <c r="G10" s="161">
        <f>I37</f>
        <v>0</v>
      </c>
      <c r="H10" s="161"/>
      <c r="I10" s="161"/>
      <c r="J10" s="161"/>
    </row>
    <row r="11" spans="2:10" x14ac:dyDescent="0.2">
      <c r="B11" s="21">
        <v>3</v>
      </c>
      <c r="C11" s="151" t="s">
        <v>4</v>
      </c>
      <c r="D11" s="151"/>
      <c r="E11" s="25" t="s">
        <v>39</v>
      </c>
      <c r="F11" s="99">
        <v>5</v>
      </c>
      <c r="G11" s="161">
        <f>I48</f>
        <v>0</v>
      </c>
      <c r="H11" s="161"/>
      <c r="I11" s="161"/>
      <c r="J11" s="161"/>
    </row>
    <row r="12" spans="2:10" ht="16.5" x14ac:dyDescent="0.2">
      <c r="B12" s="21">
        <v>4</v>
      </c>
      <c r="C12" s="151" t="s">
        <v>8</v>
      </c>
      <c r="D12" s="151"/>
      <c r="E12" s="20" t="s">
        <v>50</v>
      </c>
      <c r="F12" s="99">
        <v>9</v>
      </c>
      <c r="G12" s="161">
        <f>I54</f>
        <v>0</v>
      </c>
      <c r="H12" s="161"/>
      <c r="I12" s="161"/>
      <c r="J12" s="161"/>
    </row>
    <row r="13" spans="2:10" ht="16.5" x14ac:dyDescent="0.2">
      <c r="B13" s="21">
        <v>5</v>
      </c>
      <c r="C13" s="151" t="s">
        <v>9</v>
      </c>
      <c r="D13" s="151"/>
      <c r="E13" s="25" t="s">
        <v>50</v>
      </c>
      <c r="F13" s="99">
        <v>56</v>
      </c>
      <c r="G13" s="161">
        <f>I65</f>
        <v>0</v>
      </c>
      <c r="H13" s="161"/>
      <c r="I13" s="161"/>
      <c r="J13" s="161"/>
    </row>
    <row r="14" spans="2:10" ht="16.5" x14ac:dyDescent="0.2">
      <c r="B14" s="21">
        <v>6</v>
      </c>
      <c r="C14" s="151" t="s">
        <v>553</v>
      </c>
      <c r="D14" s="151"/>
      <c r="E14" s="20" t="s">
        <v>32</v>
      </c>
      <c r="F14" s="99">
        <v>519</v>
      </c>
      <c r="G14" s="161">
        <f>I78</f>
        <v>0</v>
      </c>
      <c r="H14" s="161"/>
      <c r="I14" s="161"/>
      <c r="J14" s="161"/>
    </row>
    <row r="15" spans="2:10" ht="16.5" x14ac:dyDescent="0.2">
      <c r="B15" s="26">
        <v>7</v>
      </c>
      <c r="C15" s="166" t="s">
        <v>195</v>
      </c>
      <c r="D15" s="167"/>
      <c r="E15" s="25" t="s">
        <v>50</v>
      </c>
      <c r="F15" s="99">
        <v>3</v>
      </c>
      <c r="G15" s="161">
        <f>I87</f>
        <v>0</v>
      </c>
      <c r="H15" s="161"/>
      <c r="I15" s="161"/>
      <c r="J15" s="161"/>
    </row>
    <row r="16" spans="2:10" ht="16.5" x14ac:dyDescent="0.2">
      <c r="B16" s="26">
        <v>8</v>
      </c>
      <c r="C16" s="166" t="s">
        <v>55</v>
      </c>
      <c r="D16" s="167"/>
      <c r="E16" s="20" t="s">
        <v>32</v>
      </c>
      <c r="F16" s="99">
        <v>2374</v>
      </c>
      <c r="G16" s="161">
        <f>I95</f>
        <v>0</v>
      </c>
      <c r="H16" s="161"/>
      <c r="I16" s="161"/>
      <c r="J16" s="161"/>
    </row>
    <row r="17" spans="2:10" x14ac:dyDescent="0.2">
      <c r="B17" s="26">
        <v>9</v>
      </c>
      <c r="C17" s="166" t="s">
        <v>86</v>
      </c>
      <c r="D17" s="167"/>
      <c r="E17" s="25" t="s">
        <v>194</v>
      </c>
      <c r="F17" s="99">
        <v>1</v>
      </c>
      <c r="G17" s="161">
        <f>I103</f>
        <v>0</v>
      </c>
      <c r="H17" s="161"/>
      <c r="I17" s="161"/>
      <c r="J17" s="161"/>
    </row>
    <row r="18" spans="2:10" s="3" customFormat="1" ht="21.95" customHeight="1" x14ac:dyDescent="0.25">
      <c r="B18" s="145" t="s">
        <v>153</v>
      </c>
      <c r="C18" s="146"/>
      <c r="D18" s="146"/>
      <c r="E18" s="146"/>
      <c r="F18" s="147"/>
      <c r="G18" s="162">
        <f>SUM(G9:G17)</f>
        <v>0</v>
      </c>
      <c r="H18" s="163"/>
      <c r="I18" s="163"/>
      <c r="J18" s="164"/>
    </row>
    <row r="19" spans="2:10" s="3" customFormat="1" ht="21.95" customHeight="1" x14ac:dyDescent="0.25">
      <c r="B19" s="145" t="s">
        <v>154</v>
      </c>
      <c r="C19" s="146"/>
      <c r="D19" s="146"/>
      <c r="E19" s="146"/>
      <c r="F19" s="147"/>
      <c r="G19" s="162">
        <f>G18*4</f>
        <v>0</v>
      </c>
      <c r="H19" s="163"/>
      <c r="I19" s="163"/>
      <c r="J19" s="164"/>
    </row>
    <row r="20" spans="2:10" x14ac:dyDescent="0.2">
      <c r="D20" s="1"/>
      <c r="E20" s="1"/>
      <c r="F20" s="1"/>
      <c r="G20" s="1"/>
      <c r="H20" s="1"/>
      <c r="I20" s="1"/>
      <c r="J20" s="1"/>
    </row>
    <row r="21" spans="2:10" ht="27" customHeight="1" x14ac:dyDescent="0.25">
      <c r="C21" s="10" t="s">
        <v>28</v>
      </c>
    </row>
    <row r="23" spans="2:10" ht="15" x14ac:dyDescent="0.25">
      <c r="B23" s="11">
        <v>1</v>
      </c>
      <c r="C23" s="3" t="s">
        <v>47</v>
      </c>
      <c r="D23" s="11"/>
      <c r="E23" s="11"/>
      <c r="F23" s="11"/>
      <c r="G23" s="11"/>
    </row>
    <row r="24" spans="2:10" s="4" customFormat="1" ht="25.5" customHeight="1" x14ac:dyDescent="0.25">
      <c r="B24" s="7"/>
      <c r="C24" s="141" t="s">
        <v>162</v>
      </c>
      <c r="D24" s="141"/>
      <c r="E24" s="141"/>
      <c r="F24" s="141"/>
      <c r="G24" s="141"/>
      <c r="H24" s="141"/>
      <c r="I24" s="141"/>
      <c r="J24" s="141"/>
    </row>
    <row r="25" spans="2:10" ht="42.75" x14ac:dyDescent="0.2">
      <c r="B25" s="8" t="s">
        <v>0</v>
      </c>
      <c r="C25" s="12" t="s">
        <v>24</v>
      </c>
      <c r="D25" s="22" t="s">
        <v>30</v>
      </c>
      <c r="E25" s="22" t="s">
        <v>48</v>
      </c>
      <c r="F25" s="22" t="s">
        <v>29</v>
      </c>
      <c r="G25" s="22" t="s">
        <v>26</v>
      </c>
      <c r="H25" s="22" t="s">
        <v>25</v>
      </c>
      <c r="I25" s="22" t="s">
        <v>31</v>
      </c>
      <c r="J25" s="22" t="s">
        <v>27</v>
      </c>
    </row>
    <row r="26" spans="2:10" s="4" customFormat="1" ht="114" x14ac:dyDescent="0.25">
      <c r="B26" s="43" t="s">
        <v>118</v>
      </c>
      <c r="C26" s="17" t="s">
        <v>73</v>
      </c>
      <c r="D26" s="20" t="s">
        <v>56</v>
      </c>
      <c r="E26" s="20" t="s">
        <v>39</v>
      </c>
      <c r="F26" s="20">
        <v>12</v>
      </c>
      <c r="G26" s="123"/>
      <c r="H26" s="20">
        <v>1</v>
      </c>
      <c r="I26" s="18">
        <f>H26*G26*F26</f>
        <v>0</v>
      </c>
      <c r="J26" s="23" t="s">
        <v>78</v>
      </c>
    </row>
    <row r="27" spans="2:10" s="3" customFormat="1" ht="15" customHeight="1" x14ac:dyDescent="0.25">
      <c r="B27" s="138" t="s">
        <v>33</v>
      </c>
      <c r="C27" s="139"/>
      <c r="D27" s="139"/>
      <c r="E27" s="139"/>
      <c r="F27" s="139"/>
      <c r="G27" s="139"/>
      <c r="H27" s="140"/>
      <c r="I27" s="19">
        <f>SUM(I26)</f>
        <v>0</v>
      </c>
      <c r="J27" s="14"/>
    </row>
    <row r="29" spans="2:10" ht="15" x14ac:dyDescent="0.25">
      <c r="B29" s="11">
        <v>2</v>
      </c>
      <c r="C29" s="3" t="s">
        <v>7</v>
      </c>
      <c r="D29" s="11"/>
      <c r="E29" s="11"/>
      <c r="F29" s="11"/>
      <c r="G29" s="11"/>
    </row>
    <row r="30" spans="2:10" s="4" customFormat="1" ht="35.25" customHeight="1" x14ac:dyDescent="0.25">
      <c r="B30" s="7"/>
      <c r="C30" s="141" t="s">
        <v>575</v>
      </c>
      <c r="D30" s="141"/>
      <c r="E30" s="141"/>
      <c r="F30" s="141"/>
      <c r="G30" s="141"/>
      <c r="H30" s="141"/>
      <c r="I30" s="141"/>
      <c r="J30" s="141"/>
    </row>
    <row r="31" spans="2:10" ht="42.75" x14ac:dyDescent="0.2">
      <c r="B31" s="8" t="s">
        <v>0</v>
      </c>
      <c r="C31" s="12" t="s">
        <v>24</v>
      </c>
      <c r="D31" s="22" t="s">
        <v>30</v>
      </c>
      <c r="E31" s="22" t="s">
        <v>48</v>
      </c>
      <c r="F31" s="22" t="s">
        <v>29</v>
      </c>
      <c r="G31" s="22" t="s">
        <v>26</v>
      </c>
      <c r="H31" s="22" t="s">
        <v>25</v>
      </c>
      <c r="I31" s="22" t="s">
        <v>31</v>
      </c>
      <c r="J31" s="22" t="s">
        <v>27</v>
      </c>
    </row>
    <row r="32" spans="2:10" s="4" customFormat="1" ht="16.5" x14ac:dyDescent="0.25">
      <c r="B32" s="43" t="s">
        <v>119</v>
      </c>
      <c r="C32" s="17" t="s">
        <v>163</v>
      </c>
      <c r="D32" s="25">
        <v>185804211</v>
      </c>
      <c r="E32" s="20" t="s">
        <v>50</v>
      </c>
      <c r="F32" s="20">
        <v>38</v>
      </c>
      <c r="G32" s="123"/>
      <c r="H32" s="20">
        <v>3</v>
      </c>
      <c r="I32" s="18">
        <f>H32*G32*F32</f>
        <v>0</v>
      </c>
      <c r="J32" s="28"/>
    </row>
    <row r="33" spans="2:10" s="4" customFormat="1" ht="28.5" x14ac:dyDescent="0.25">
      <c r="B33" s="43" t="s">
        <v>165</v>
      </c>
      <c r="C33" s="17" t="s">
        <v>174</v>
      </c>
      <c r="D33" s="25">
        <v>185811211</v>
      </c>
      <c r="E33" s="25" t="s">
        <v>50</v>
      </c>
      <c r="F33" s="25">
        <v>38</v>
      </c>
      <c r="G33" s="123"/>
      <c r="H33" s="25">
        <v>1</v>
      </c>
      <c r="I33" s="39">
        <f>F33*G33*H33</f>
        <v>0</v>
      </c>
      <c r="J33" s="28" t="s">
        <v>175</v>
      </c>
    </row>
    <row r="34" spans="2:10" s="4" customFormat="1" ht="28.5" x14ac:dyDescent="0.25">
      <c r="B34" s="43" t="s">
        <v>166</v>
      </c>
      <c r="C34" s="17" t="s">
        <v>82</v>
      </c>
      <c r="D34" s="20" t="s">
        <v>56</v>
      </c>
      <c r="E34" s="20" t="s">
        <v>50</v>
      </c>
      <c r="F34" s="20">
        <f>F32*0.3</f>
        <v>11.4</v>
      </c>
      <c r="G34" s="123"/>
      <c r="H34" s="20">
        <v>1</v>
      </c>
      <c r="I34" s="18">
        <f>H34*G34*F34</f>
        <v>0</v>
      </c>
      <c r="J34" s="28" t="s">
        <v>164</v>
      </c>
    </row>
    <row r="35" spans="2:10" s="4" customFormat="1" ht="28.5" x14ac:dyDescent="0.25">
      <c r="B35" s="43" t="s">
        <v>167</v>
      </c>
      <c r="C35" s="17" t="s">
        <v>156</v>
      </c>
      <c r="D35" s="25">
        <v>184911421</v>
      </c>
      <c r="E35" s="25" t="s">
        <v>50</v>
      </c>
      <c r="F35" s="25">
        <v>38</v>
      </c>
      <c r="G35" s="123"/>
      <c r="H35" s="25">
        <v>0.5</v>
      </c>
      <c r="I35" s="39">
        <f t="shared" ref="I35:I36" si="0">H35*G35*F35</f>
        <v>0</v>
      </c>
      <c r="J35" s="28" t="s">
        <v>158</v>
      </c>
    </row>
    <row r="36" spans="2:10" s="4" customFormat="1" ht="16.5" x14ac:dyDescent="0.25">
      <c r="B36" s="43" t="s">
        <v>173</v>
      </c>
      <c r="C36" s="17" t="s">
        <v>159</v>
      </c>
      <c r="D36" s="25">
        <v>103911000</v>
      </c>
      <c r="E36" s="25" t="s">
        <v>95</v>
      </c>
      <c r="F36" s="25">
        <f>F35*0.05</f>
        <v>1.9000000000000001</v>
      </c>
      <c r="G36" s="123"/>
      <c r="H36" s="25">
        <v>0.5</v>
      </c>
      <c r="I36" s="39">
        <f t="shared" si="0"/>
        <v>0</v>
      </c>
      <c r="J36" s="28" t="s">
        <v>160</v>
      </c>
    </row>
    <row r="37" spans="2:10" s="3" customFormat="1" ht="15" customHeight="1" x14ac:dyDescent="0.25">
      <c r="B37" s="138" t="s">
        <v>33</v>
      </c>
      <c r="C37" s="139"/>
      <c r="D37" s="139"/>
      <c r="E37" s="139"/>
      <c r="F37" s="139"/>
      <c r="G37" s="139"/>
      <c r="H37" s="140"/>
      <c r="I37" s="19">
        <f>SUM(I32:I36)</f>
        <v>0</v>
      </c>
      <c r="J37" s="14"/>
    </row>
    <row r="39" spans="2:10" ht="15" x14ac:dyDescent="0.25">
      <c r="B39" s="11">
        <v>3</v>
      </c>
      <c r="C39" s="3" t="s">
        <v>4</v>
      </c>
      <c r="D39" s="11"/>
      <c r="E39" s="11"/>
      <c r="F39" s="11"/>
      <c r="G39" s="11"/>
    </row>
    <row r="40" spans="2:10" s="4" customFormat="1" ht="36" customHeight="1" x14ac:dyDescent="0.25">
      <c r="B40" s="7"/>
      <c r="C40" s="141" t="s">
        <v>544</v>
      </c>
      <c r="D40" s="141"/>
      <c r="E40" s="141"/>
      <c r="F40" s="141"/>
      <c r="G40" s="141"/>
      <c r="H40" s="141"/>
      <c r="I40" s="141"/>
      <c r="J40" s="141"/>
    </row>
    <row r="41" spans="2:10" ht="42.75" x14ac:dyDescent="0.2">
      <c r="B41" s="8" t="s">
        <v>0</v>
      </c>
      <c r="C41" s="12" t="s">
        <v>24</v>
      </c>
      <c r="D41" s="22" t="s">
        <v>30</v>
      </c>
      <c r="E41" s="22" t="s">
        <v>48</v>
      </c>
      <c r="F41" s="22" t="s">
        <v>29</v>
      </c>
      <c r="G41" s="22" t="s">
        <v>26</v>
      </c>
      <c r="H41" s="22" t="s">
        <v>25</v>
      </c>
      <c r="I41" s="22" t="s">
        <v>31</v>
      </c>
      <c r="J41" s="22" t="s">
        <v>27</v>
      </c>
    </row>
    <row r="42" spans="2:10" s="4" customFormat="1" ht="28.5" x14ac:dyDescent="0.25">
      <c r="B42" s="43" t="s">
        <v>120</v>
      </c>
      <c r="C42" s="17" t="s">
        <v>168</v>
      </c>
      <c r="D42" s="20">
        <v>185804214</v>
      </c>
      <c r="E42" s="20" t="s">
        <v>50</v>
      </c>
      <c r="F42" s="20">
        <v>1</v>
      </c>
      <c r="G42" s="123"/>
      <c r="H42" s="20">
        <v>3</v>
      </c>
      <c r="I42" s="18">
        <f>H42*G42*F42</f>
        <v>0</v>
      </c>
      <c r="J42" s="23"/>
    </row>
    <row r="43" spans="2:10" s="4" customFormat="1" ht="28.5" x14ac:dyDescent="0.25">
      <c r="B43" s="43" t="s">
        <v>121</v>
      </c>
      <c r="C43" s="17" t="s">
        <v>169</v>
      </c>
      <c r="D43" s="20" t="s">
        <v>56</v>
      </c>
      <c r="E43" s="25" t="s">
        <v>39</v>
      </c>
      <c r="F43" s="20">
        <v>5</v>
      </c>
      <c r="G43" s="123"/>
      <c r="H43" s="20">
        <v>1</v>
      </c>
      <c r="I43" s="18">
        <f>H43*G43*F43</f>
        <v>0</v>
      </c>
      <c r="J43" s="6" t="s">
        <v>545</v>
      </c>
    </row>
    <row r="44" spans="2:10" s="4" customFormat="1" ht="28.5" x14ac:dyDescent="0.25">
      <c r="B44" s="43" t="s">
        <v>122</v>
      </c>
      <c r="C44" s="17" t="s">
        <v>156</v>
      </c>
      <c r="D44" s="25">
        <v>184911421</v>
      </c>
      <c r="E44" s="25" t="s">
        <v>50</v>
      </c>
      <c r="F44" s="25">
        <v>1</v>
      </c>
      <c r="G44" s="123"/>
      <c r="H44" s="25">
        <v>0.5</v>
      </c>
      <c r="I44" s="39">
        <f t="shared" ref="I44:I47" si="1">H44*G44*F44</f>
        <v>0</v>
      </c>
      <c r="J44" s="28" t="s">
        <v>170</v>
      </c>
    </row>
    <row r="45" spans="2:10" s="4" customFormat="1" ht="16.5" x14ac:dyDescent="0.25">
      <c r="B45" s="43" t="s">
        <v>123</v>
      </c>
      <c r="C45" s="17" t="s">
        <v>159</v>
      </c>
      <c r="D45" s="25">
        <v>103911000</v>
      </c>
      <c r="E45" s="25" t="s">
        <v>95</v>
      </c>
      <c r="F45" s="25">
        <f>F44*0.05</f>
        <v>0.05</v>
      </c>
      <c r="G45" s="123"/>
      <c r="H45" s="25">
        <v>0.5</v>
      </c>
      <c r="I45" s="39">
        <f t="shared" si="1"/>
        <v>0</v>
      </c>
      <c r="J45" s="28" t="s">
        <v>160</v>
      </c>
    </row>
    <row r="46" spans="2:10" s="32" customFormat="1" ht="42.75" x14ac:dyDescent="0.25">
      <c r="B46" s="43" t="s">
        <v>124</v>
      </c>
      <c r="C46" s="17" t="s">
        <v>76</v>
      </c>
      <c r="D46" s="25">
        <v>185802114</v>
      </c>
      <c r="E46" s="30" t="s">
        <v>37</v>
      </c>
      <c r="F46" s="30">
        <f>(F43*20)/1000000</f>
        <v>1E-4</v>
      </c>
      <c r="G46" s="124"/>
      <c r="H46" s="30">
        <v>1</v>
      </c>
      <c r="I46" s="31">
        <f t="shared" si="1"/>
        <v>0</v>
      </c>
      <c r="J46" s="75" t="s">
        <v>546</v>
      </c>
    </row>
    <row r="47" spans="2:10" s="32" customFormat="1" x14ac:dyDescent="0.2">
      <c r="B47" s="43" t="s">
        <v>171</v>
      </c>
      <c r="C47" s="34" t="s">
        <v>83</v>
      </c>
      <c r="D47" s="35">
        <v>251911550</v>
      </c>
      <c r="E47" s="30" t="s">
        <v>57</v>
      </c>
      <c r="F47" s="30">
        <f>(F43*20)/1000</f>
        <v>0.1</v>
      </c>
      <c r="G47" s="124"/>
      <c r="H47" s="30">
        <v>1</v>
      </c>
      <c r="I47" s="31">
        <f t="shared" si="1"/>
        <v>0</v>
      </c>
      <c r="J47" s="33"/>
    </row>
    <row r="48" spans="2:10" s="3" customFormat="1" ht="15" customHeight="1" x14ac:dyDescent="0.25">
      <c r="B48" s="138" t="s">
        <v>33</v>
      </c>
      <c r="C48" s="139"/>
      <c r="D48" s="139"/>
      <c r="E48" s="139"/>
      <c r="F48" s="139"/>
      <c r="G48" s="139"/>
      <c r="H48" s="140"/>
      <c r="I48" s="19">
        <f>SUM(I42:I47)</f>
        <v>0</v>
      </c>
      <c r="J48" s="14"/>
    </row>
    <row r="50" spans="2:10" ht="15" x14ac:dyDescent="0.25">
      <c r="B50" s="11">
        <v>4</v>
      </c>
      <c r="C50" s="3" t="s">
        <v>207</v>
      </c>
      <c r="D50" s="11"/>
      <c r="E50" s="11"/>
      <c r="F50" s="11"/>
      <c r="G50" s="11"/>
    </row>
    <row r="51" spans="2:10" s="4" customFormat="1" ht="37.5" customHeight="1" x14ac:dyDescent="0.25">
      <c r="B51" s="7"/>
      <c r="C51" s="141" t="s">
        <v>547</v>
      </c>
      <c r="D51" s="141"/>
      <c r="E51" s="141"/>
      <c r="F51" s="141"/>
      <c r="G51" s="141"/>
      <c r="H51" s="141"/>
      <c r="I51" s="141"/>
      <c r="J51" s="141"/>
    </row>
    <row r="52" spans="2:10" ht="42.75" x14ac:dyDescent="0.2">
      <c r="B52" s="8" t="s">
        <v>0</v>
      </c>
      <c r="C52" s="12" t="s">
        <v>24</v>
      </c>
      <c r="D52" s="27" t="s">
        <v>30</v>
      </c>
      <c r="E52" s="27" t="s">
        <v>48</v>
      </c>
      <c r="F52" s="27" t="s">
        <v>29</v>
      </c>
      <c r="G52" s="27" t="s">
        <v>26</v>
      </c>
      <c r="H52" s="27" t="s">
        <v>25</v>
      </c>
      <c r="I52" s="27" t="s">
        <v>31</v>
      </c>
      <c r="J52" s="27" t="s">
        <v>27</v>
      </c>
    </row>
    <row r="53" spans="2:10" s="4" customFormat="1" ht="28.5" x14ac:dyDescent="0.25">
      <c r="B53" s="43" t="s">
        <v>125</v>
      </c>
      <c r="C53" s="17" t="s">
        <v>82</v>
      </c>
      <c r="D53" s="25" t="s">
        <v>56</v>
      </c>
      <c r="E53" s="25" t="s">
        <v>50</v>
      </c>
      <c r="F53" s="25">
        <v>9</v>
      </c>
      <c r="G53" s="123"/>
      <c r="H53" s="25">
        <v>1</v>
      </c>
      <c r="I53" s="39">
        <f>H53*G53*F53</f>
        <v>0</v>
      </c>
      <c r="J53" s="77" t="s">
        <v>539</v>
      </c>
    </row>
    <row r="54" spans="2:10" s="3" customFormat="1" ht="15" customHeight="1" x14ac:dyDescent="0.25">
      <c r="B54" s="138" t="s">
        <v>33</v>
      </c>
      <c r="C54" s="139"/>
      <c r="D54" s="139"/>
      <c r="E54" s="139"/>
      <c r="F54" s="139"/>
      <c r="G54" s="139"/>
      <c r="H54" s="140"/>
      <c r="I54" s="19">
        <f>SUM(I53:I53)</f>
        <v>0</v>
      </c>
      <c r="J54" s="14"/>
    </row>
    <row r="56" spans="2:10" ht="15" x14ac:dyDescent="0.25">
      <c r="B56" s="11">
        <v>5</v>
      </c>
      <c r="C56" s="3" t="s">
        <v>9</v>
      </c>
      <c r="D56" s="11"/>
      <c r="E56" s="11"/>
      <c r="F56" s="11"/>
      <c r="G56" s="11"/>
    </row>
    <row r="57" spans="2:10" s="4" customFormat="1" ht="35.25" customHeight="1" x14ac:dyDescent="0.25">
      <c r="B57" s="7"/>
      <c r="C57" s="141" t="s">
        <v>548</v>
      </c>
      <c r="D57" s="141"/>
      <c r="E57" s="141"/>
      <c r="F57" s="141"/>
      <c r="G57" s="141"/>
      <c r="H57" s="141"/>
      <c r="I57" s="141"/>
      <c r="J57" s="141"/>
    </row>
    <row r="58" spans="2:10" ht="42.75" x14ac:dyDescent="0.2">
      <c r="B58" s="8" t="s">
        <v>0</v>
      </c>
      <c r="C58" s="12" t="s">
        <v>24</v>
      </c>
      <c r="D58" s="27" t="s">
        <v>30</v>
      </c>
      <c r="E58" s="27" t="s">
        <v>48</v>
      </c>
      <c r="F58" s="27" t="s">
        <v>29</v>
      </c>
      <c r="G58" s="27" t="s">
        <v>26</v>
      </c>
      <c r="H58" s="27" t="s">
        <v>25</v>
      </c>
      <c r="I58" s="27" t="s">
        <v>31</v>
      </c>
      <c r="J58" s="27" t="s">
        <v>27</v>
      </c>
    </row>
    <row r="59" spans="2:10" s="4" customFormat="1" ht="28.5" x14ac:dyDescent="0.25">
      <c r="B59" s="43" t="s">
        <v>128</v>
      </c>
      <c r="C59" s="17" t="s">
        <v>77</v>
      </c>
      <c r="D59" s="25">
        <v>185804214</v>
      </c>
      <c r="E59" s="25" t="s">
        <v>50</v>
      </c>
      <c r="F59" s="25">
        <f>56*0.3</f>
        <v>16.8</v>
      </c>
      <c r="G59" s="123"/>
      <c r="H59" s="25">
        <v>3</v>
      </c>
      <c r="I59" s="39">
        <f>H59*G59*F59</f>
        <v>0</v>
      </c>
      <c r="J59" s="28" t="s">
        <v>172</v>
      </c>
    </row>
    <row r="60" spans="2:10" s="4" customFormat="1" ht="57" x14ac:dyDescent="0.25">
      <c r="B60" s="43" t="s">
        <v>129</v>
      </c>
      <c r="C60" s="17" t="s">
        <v>65</v>
      </c>
      <c r="D60" s="25">
        <v>184803112</v>
      </c>
      <c r="E60" s="25" t="s">
        <v>50</v>
      </c>
      <c r="F60" s="25">
        <v>56</v>
      </c>
      <c r="G60" s="123"/>
      <c r="H60" s="25">
        <v>2</v>
      </c>
      <c r="I60" s="39">
        <f>H60*G60*F60</f>
        <v>0</v>
      </c>
      <c r="J60" s="77" t="s">
        <v>532</v>
      </c>
    </row>
    <row r="61" spans="2:10" s="32" customFormat="1" ht="45" x14ac:dyDescent="0.25">
      <c r="B61" s="43" t="s">
        <v>130</v>
      </c>
      <c r="C61" s="17" t="s">
        <v>75</v>
      </c>
      <c r="D61" s="25">
        <v>185802113</v>
      </c>
      <c r="E61" s="30" t="s">
        <v>37</v>
      </c>
      <c r="F61" s="30">
        <f>(56*20)/1000000</f>
        <v>1.1199999999999999E-3</v>
      </c>
      <c r="G61" s="124"/>
      <c r="H61" s="30">
        <v>1</v>
      </c>
      <c r="I61" s="31">
        <f t="shared" ref="I61:I62" si="2">H61*G61*F61</f>
        <v>0</v>
      </c>
      <c r="J61" s="74" t="s">
        <v>475</v>
      </c>
    </row>
    <row r="62" spans="2:10" s="32" customFormat="1" x14ac:dyDescent="0.2">
      <c r="B62" s="43" t="s">
        <v>131</v>
      </c>
      <c r="C62" s="34" t="s">
        <v>83</v>
      </c>
      <c r="D62" s="35">
        <v>251911550</v>
      </c>
      <c r="E62" s="30" t="s">
        <v>57</v>
      </c>
      <c r="F62" s="30">
        <f>(56*20)/1000</f>
        <v>1.1200000000000001</v>
      </c>
      <c r="G62" s="124"/>
      <c r="H62" s="30">
        <v>1</v>
      </c>
      <c r="I62" s="31">
        <f t="shared" si="2"/>
        <v>0</v>
      </c>
      <c r="J62" s="33"/>
    </row>
    <row r="63" spans="2:10" s="4" customFormat="1" ht="28.5" x14ac:dyDescent="0.25">
      <c r="B63" s="43" t="s">
        <v>132</v>
      </c>
      <c r="C63" s="17" t="s">
        <v>156</v>
      </c>
      <c r="D63" s="25">
        <v>184911421</v>
      </c>
      <c r="E63" s="25" t="s">
        <v>50</v>
      </c>
      <c r="F63" s="25">
        <v>56</v>
      </c>
      <c r="G63" s="123"/>
      <c r="H63" s="25">
        <v>0.5</v>
      </c>
      <c r="I63" s="39">
        <f t="shared" ref="I63:I64" si="3">H63*G63*F63</f>
        <v>0</v>
      </c>
      <c r="J63" s="28"/>
    </row>
    <row r="64" spans="2:10" s="4" customFormat="1" ht="16.5" x14ac:dyDescent="0.25">
      <c r="B64" s="43" t="s">
        <v>133</v>
      </c>
      <c r="C64" s="17" t="s">
        <v>159</v>
      </c>
      <c r="D64" s="25">
        <v>103911000</v>
      </c>
      <c r="E64" s="25" t="s">
        <v>95</v>
      </c>
      <c r="F64" s="25">
        <f>F63*0.05</f>
        <v>2.8000000000000003</v>
      </c>
      <c r="G64" s="123"/>
      <c r="H64" s="25">
        <v>0.5</v>
      </c>
      <c r="I64" s="39">
        <f t="shared" si="3"/>
        <v>0</v>
      </c>
      <c r="J64" s="28" t="s">
        <v>160</v>
      </c>
    </row>
    <row r="65" spans="2:11" s="3" customFormat="1" ht="15" customHeight="1" x14ac:dyDescent="0.25">
      <c r="B65" s="138" t="s">
        <v>33</v>
      </c>
      <c r="C65" s="139"/>
      <c r="D65" s="139"/>
      <c r="E65" s="139"/>
      <c r="F65" s="139"/>
      <c r="G65" s="139"/>
      <c r="H65" s="140"/>
      <c r="I65" s="19">
        <f>SUM(I59:I64)</f>
        <v>0</v>
      </c>
      <c r="J65" s="14"/>
    </row>
    <row r="67" spans="2:11" ht="15" x14ac:dyDescent="0.25">
      <c r="B67" s="11">
        <v>6</v>
      </c>
      <c r="C67" s="3" t="s">
        <v>35</v>
      </c>
      <c r="D67" s="11"/>
      <c r="E67" s="11"/>
      <c r="F67" s="11"/>
      <c r="G67" s="11"/>
    </row>
    <row r="68" spans="2:11" s="4" customFormat="1" ht="21" customHeight="1" x14ac:dyDescent="0.25">
      <c r="B68" s="7"/>
      <c r="C68" s="141" t="s">
        <v>176</v>
      </c>
      <c r="D68" s="141"/>
      <c r="E68" s="141"/>
      <c r="F68" s="141"/>
      <c r="G68" s="141"/>
      <c r="H68" s="141"/>
      <c r="I68" s="141"/>
      <c r="J68" s="141"/>
    </row>
    <row r="69" spans="2:11" ht="42.75" x14ac:dyDescent="0.2">
      <c r="B69" s="8" t="s">
        <v>0</v>
      </c>
      <c r="C69" s="12" t="s">
        <v>24</v>
      </c>
      <c r="D69" s="22" t="s">
        <v>30</v>
      </c>
      <c r="E69" s="22" t="s">
        <v>48</v>
      </c>
      <c r="F69" s="22" t="s">
        <v>29</v>
      </c>
      <c r="G69" s="22" t="s">
        <v>26</v>
      </c>
      <c r="H69" s="22" t="s">
        <v>25</v>
      </c>
      <c r="I69" s="22" t="s">
        <v>31</v>
      </c>
      <c r="J69" s="22" t="s">
        <v>27</v>
      </c>
    </row>
    <row r="70" spans="2:11" s="4" customFormat="1" ht="57" x14ac:dyDescent="0.25">
      <c r="B70" s="43" t="s">
        <v>138</v>
      </c>
      <c r="C70" s="17" t="s">
        <v>58</v>
      </c>
      <c r="D70" s="25">
        <v>111151121</v>
      </c>
      <c r="E70" s="20" t="s">
        <v>50</v>
      </c>
      <c r="F70" s="20">
        <v>519</v>
      </c>
      <c r="G70" s="123"/>
      <c r="H70" s="20">
        <v>6</v>
      </c>
      <c r="I70" s="18">
        <f>F70*G70*H70</f>
        <v>0</v>
      </c>
      <c r="J70" s="77" t="s">
        <v>511</v>
      </c>
    </row>
    <row r="71" spans="2:11" s="81" customFormat="1" ht="45" x14ac:dyDescent="0.25">
      <c r="B71" s="55" t="s">
        <v>139</v>
      </c>
      <c r="C71" s="36" t="s">
        <v>110</v>
      </c>
      <c r="D71" s="76">
        <v>185811221</v>
      </c>
      <c r="E71" s="76" t="s">
        <v>50</v>
      </c>
      <c r="F71" s="76">
        <f>F70*0.5</f>
        <v>259.5</v>
      </c>
      <c r="G71" s="125"/>
      <c r="H71" s="76">
        <v>1</v>
      </c>
      <c r="I71" s="78">
        <f t="shared" ref="I71" si="4">F71*G71*H71</f>
        <v>0</v>
      </c>
      <c r="J71" s="6" t="s">
        <v>512</v>
      </c>
      <c r="K71" s="97"/>
    </row>
    <row r="72" spans="2:11" s="81" customFormat="1" ht="99.75" x14ac:dyDescent="0.25">
      <c r="B72" s="43" t="s">
        <v>140</v>
      </c>
      <c r="C72" s="17" t="s">
        <v>62</v>
      </c>
      <c r="D72" s="70">
        <v>183451411</v>
      </c>
      <c r="E72" s="76" t="s">
        <v>50</v>
      </c>
      <c r="F72" s="76">
        <v>20</v>
      </c>
      <c r="G72" s="125"/>
      <c r="H72" s="76">
        <v>0.5</v>
      </c>
      <c r="I72" s="78">
        <f>F72*G72*H72</f>
        <v>0</v>
      </c>
      <c r="J72" s="6" t="s">
        <v>550</v>
      </c>
    </row>
    <row r="73" spans="2:11" s="81" customFormat="1" ht="99.75" x14ac:dyDescent="0.25">
      <c r="B73" s="55" t="s">
        <v>180</v>
      </c>
      <c r="C73" s="36" t="s">
        <v>177</v>
      </c>
      <c r="D73" s="76">
        <v>183451431</v>
      </c>
      <c r="E73" s="76" t="s">
        <v>50</v>
      </c>
      <c r="F73" s="76">
        <v>499</v>
      </c>
      <c r="G73" s="125"/>
      <c r="H73" s="76">
        <v>0.5</v>
      </c>
      <c r="I73" s="78">
        <f>H73*G73*F73</f>
        <v>0</v>
      </c>
      <c r="J73" s="6" t="s">
        <v>549</v>
      </c>
    </row>
    <row r="74" spans="2:11" s="81" customFormat="1" x14ac:dyDescent="0.2">
      <c r="B74" s="43" t="s">
        <v>181</v>
      </c>
      <c r="C74" s="53" t="s">
        <v>178</v>
      </c>
      <c r="D74" s="54" t="s">
        <v>179</v>
      </c>
      <c r="E74" s="76" t="s">
        <v>57</v>
      </c>
      <c r="F74" s="76">
        <f>(F73*0.4)/1000</f>
        <v>0.19960000000000003</v>
      </c>
      <c r="G74" s="125"/>
      <c r="H74" s="76">
        <v>0.5</v>
      </c>
      <c r="I74" s="78">
        <f>F74*G74*H74</f>
        <v>0</v>
      </c>
      <c r="J74" s="76"/>
    </row>
    <row r="75" spans="2:11" s="81" customFormat="1" ht="57" x14ac:dyDescent="0.25">
      <c r="B75" s="55" t="s">
        <v>182</v>
      </c>
      <c r="C75" s="36" t="s">
        <v>107</v>
      </c>
      <c r="D75" s="76">
        <v>183451311</v>
      </c>
      <c r="E75" s="76" t="s">
        <v>50</v>
      </c>
      <c r="F75" s="76">
        <v>519</v>
      </c>
      <c r="G75" s="125"/>
      <c r="H75" s="76">
        <v>0.5</v>
      </c>
      <c r="I75" s="78">
        <f>F75*G75*H75</f>
        <v>0</v>
      </c>
      <c r="J75" s="6" t="s">
        <v>481</v>
      </c>
    </row>
    <row r="76" spans="2:11" s="4" customFormat="1" ht="28.5" x14ac:dyDescent="0.25">
      <c r="B76" s="43" t="s">
        <v>183</v>
      </c>
      <c r="C76" s="29" t="s">
        <v>75</v>
      </c>
      <c r="D76" s="30">
        <v>185802113</v>
      </c>
      <c r="E76" s="30" t="s">
        <v>37</v>
      </c>
      <c r="F76" s="20">
        <f>(F70*20)/1000000</f>
        <v>1.038E-2</v>
      </c>
      <c r="G76" s="123"/>
      <c r="H76" s="20">
        <v>1</v>
      </c>
      <c r="I76" s="18">
        <f>F76*G76*H76</f>
        <v>0</v>
      </c>
      <c r="J76" s="20" t="s">
        <v>103</v>
      </c>
      <c r="K76" s="40"/>
    </row>
    <row r="77" spans="2:11" s="4" customFormat="1" ht="18.75" customHeight="1" x14ac:dyDescent="0.2">
      <c r="B77" s="55" t="s">
        <v>184</v>
      </c>
      <c r="C77" s="2" t="s">
        <v>83</v>
      </c>
      <c r="D77" s="35">
        <v>251911550</v>
      </c>
      <c r="E77" s="20" t="s">
        <v>57</v>
      </c>
      <c r="F77" s="20">
        <f>(F70*20)/1000</f>
        <v>10.38</v>
      </c>
      <c r="G77" s="123"/>
      <c r="H77" s="20">
        <v>1</v>
      </c>
      <c r="I77" s="18">
        <f>F77*G77*H77</f>
        <v>0</v>
      </c>
      <c r="J77" s="20"/>
      <c r="K77" s="38"/>
    </row>
    <row r="78" spans="2:11" s="3" customFormat="1" ht="15" customHeight="1" x14ac:dyDescent="0.25">
      <c r="B78" s="138" t="s">
        <v>33</v>
      </c>
      <c r="C78" s="139"/>
      <c r="D78" s="139"/>
      <c r="E78" s="139"/>
      <c r="F78" s="139"/>
      <c r="G78" s="139"/>
      <c r="H78" s="140"/>
      <c r="I78" s="19">
        <f>SUM(I70:I77)</f>
        <v>0</v>
      </c>
      <c r="J78" s="14"/>
    </row>
    <row r="80" spans="2:11" ht="15" x14ac:dyDescent="0.25">
      <c r="B80" s="11">
        <v>7</v>
      </c>
      <c r="C80" s="3" t="s">
        <v>196</v>
      </c>
      <c r="D80" s="11"/>
      <c r="E80" s="11"/>
      <c r="F80" s="11"/>
      <c r="G80" s="11"/>
    </row>
    <row r="81" spans="2:10" s="4" customFormat="1" ht="35.25" customHeight="1" x14ac:dyDescent="0.25">
      <c r="B81" s="7"/>
      <c r="C81" s="141" t="s">
        <v>552</v>
      </c>
      <c r="D81" s="141"/>
      <c r="E81" s="141"/>
      <c r="F81" s="141"/>
      <c r="G81" s="141"/>
      <c r="H81" s="141"/>
      <c r="I81" s="141"/>
      <c r="J81" s="141"/>
    </row>
    <row r="82" spans="2:10" ht="42.75" x14ac:dyDescent="0.2">
      <c r="B82" s="8" t="s">
        <v>0</v>
      </c>
      <c r="C82" s="12" t="s">
        <v>24</v>
      </c>
      <c r="D82" s="27" t="s">
        <v>30</v>
      </c>
      <c r="E82" s="27" t="s">
        <v>48</v>
      </c>
      <c r="F82" s="27" t="s">
        <v>29</v>
      </c>
      <c r="G82" s="27" t="s">
        <v>26</v>
      </c>
      <c r="H82" s="27" t="s">
        <v>25</v>
      </c>
      <c r="I82" s="27" t="s">
        <v>31</v>
      </c>
      <c r="J82" s="27" t="s">
        <v>27</v>
      </c>
    </row>
    <row r="83" spans="2:10" s="4" customFormat="1" ht="16.5" x14ac:dyDescent="0.25">
      <c r="B83" s="43" t="s">
        <v>141</v>
      </c>
      <c r="C83" s="17" t="s">
        <v>163</v>
      </c>
      <c r="D83" s="25">
        <v>185804211</v>
      </c>
      <c r="E83" s="25" t="s">
        <v>50</v>
      </c>
      <c r="F83" s="25">
        <v>3</v>
      </c>
      <c r="G83" s="123"/>
      <c r="H83" s="25">
        <v>3</v>
      </c>
      <c r="I83" s="39">
        <f>H83*G83*F83</f>
        <v>0</v>
      </c>
      <c r="J83" s="28"/>
    </row>
    <row r="84" spans="2:10" s="81" customFormat="1" ht="30.75" x14ac:dyDescent="0.25">
      <c r="B84" s="55" t="s">
        <v>142</v>
      </c>
      <c r="C84" s="36" t="s">
        <v>185</v>
      </c>
      <c r="D84" s="76">
        <v>185811211</v>
      </c>
      <c r="E84" s="76" t="s">
        <v>50</v>
      </c>
      <c r="F84" s="76">
        <v>3</v>
      </c>
      <c r="G84" s="125"/>
      <c r="H84" s="76">
        <v>1</v>
      </c>
      <c r="I84" s="78">
        <f>F84*G84*H84</f>
        <v>0</v>
      </c>
      <c r="J84" s="6" t="s">
        <v>551</v>
      </c>
    </row>
    <row r="85" spans="2:10" s="4" customFormat="1" ht="28.5" x14ac:dyDescent="0.25">
      <c r="B85" s="43" t="s">
        <v>143</v>
      </c>
      <c r="C85" s="17" t="s">
        <v>156</v>
      </c>
      <c r="D85" s="25">
        <v>184911421</v>
      </c>
      <c r="E85" s="25" t="s">
        <v>50</v>
      </c>
      <c r="F85" s="25">
        <v>3</v>
      </c>
      <c r="G85" s="123"/>
      <c r="H85" s="25">
        <v>0.5</v>
      </c>
      <c r="I85" s="39">
        <f t="shared" ref="I85:I86" si="5">H85*G85*F85</f>
        <v>0</v>
      </c>
      <c r="J85" s="28" t="s">
        <v>186</v>
      </c>
    </row>
    <row r="86" spans="2:10" s="4" customFormat="1" ht="16.5" x14ac:dyDescent="0.25">
      <c r="B86" s="43" t="s">
        <v>144</v>
      </c>
      <c r="C86" s="17" t="s">
        <v>159</v>
      </c>
      <c r="D86" s="25">
        <v>103911000</v>
      </c>
      <c r="E86" s="25" t="s">
        <v>95</v>
      </c>
      <c r="F86" s="25">
        <f>F85*0.05</f>
        <v>0.15000000000000002</v>
      </c>
      <c r="G86" s="123"/>
      <c r="H86" s="25">
        <v>0.5</v>
      </c>
      <c r="I86" s="39">
        <f t="shared" si="5"/>
        <v>0</v>
      </c>
      <c r="J86" s="28" t="s">
        <v>160</v>
      </c>
    </row>
    <row r="87" spans="2:10" s="3" customFormat="1" ht="15" customHeight="1" x14ac:dyDescent="0.25">
      <c r="B87" s="138" t="s">
        <v>33</v>
      </c>
      <c r="C87" s="139"/>
      <c r="D87" s="139"/>
      <c r="E87" s="139"/>
      <c r="F87" s="139"/>
      <c r="G87" s="139"/>
      <c r="H87" s="140"/>
      <c r="I87" s="19">
        <f>SUM(I83:I86)</f>
        <v>0</v>
      </c>
      <c r="J87" s="14"/>
    </row>
    <row r="89" spans="2:10" ht="15" x14ac:dyDescent="0.25">
      <c r="B89" s="11">
        <v>8</v>
      </c>
      <c r="C89" s="3" t="s">
        <v>55</v>
      </c>
      <c r="D89" s="11"/>
      <c r="E89" s="11"/>
      <c r="F89" s="11"/>
      <c r="G89" s="11"/>
    </row>
    <row r="90" spans="2:10" s="4" customFormat="1" ht="39" customHeight="1" x14ac:dyDescent="0.25">
      <c r="B90" s="7"/>
      <c r="C90" s="141" t="s">
        <v>187</v>
      </c>
      <c r="D90" s="141"/>
      <c r="E90" s="141"/>
      <c r="F90" s="141"/>
      <c r="G90" s="141"/>
      <c r="H90" s="141"/>
      <c r="I90" s="141"/>
      <c r="J90" s="141"/>
    </row>
    <row r="91" spans="2:10" ht="42.75" x14ac:dyDescent="0.2">
      <c r="B91" s="8" t="s">
        <v>0</v>
      </c>
      <c r="C91" s="12" t="s">
        <v>24</v>
      </c>
      <c r="D91" s="22" t="s">
        <v>30</v>
      </c>
      <c r="E91" s="22" t="s">
        <v>48</v>
      </c>
      <c r="F91" s="22" t="s">
        <v>29</v>
      </c>
      <c r="G91" s="22" t="s">
        <v>26</v>
      </c>
      <c r="H91" s="22" t="s">
        <v>25</v>
      </c>
      <c r="I91" s="22" t="s">
        <v>31</v>
      </c>
      <c r="J91" s="22" t="s">
        <v>27</v>
      </c>
    </row>
    <row r="92" spans="2:10" s="4" customFormat="1" ht="28.5" x14ac:dyDescent="0.25">
      <c r="B92" s="43" t="s">
        <v>148</v>
      </c>
      <c r="C92" s="17" t="s">
        <v>105</v>
      </c>
      <c r="D92" s="20">
        <v>184802611</v>
      </c>
      <c r="E92" s="20" t="s">
        <v>32</v>
      </c>
      <c r="F92" s="20">
        <v>89</v>
      </c>
      <c r="G92" s="123"/>
      <c r="H92" s="20">
        <v>3</v>
      </c>
      <c r="I92" s="18">
        <f>F92*G92*H92</f>
        <v>0</v>
      </c>
      <c r="J92" s="25" t="s">
        <v>191</v>
      </c>
    </row>
    <row r="93" spans="2:10" s="4" customFormat="1" ht="28.5" x14ac:dyDescent="0.25">
      <c r="B93" s="43" t="s">
        <v>149</v>
      </c>
      <c r="C93" s="17" t="s">
        <v>105</v>
      </c>
      <c r="D93" s="25">
        <v>184802611</v>
      </c>
      <c r="E93" s="25" t="s">
        <v>32</v>
      </c>
      <c r="F93" s="25">
        <f>2285*0.1</f>
        <v>228.5</v>
      </c>
      <c r="G93" s="123"/>
      <c r="H93" s="25">
        <v>3</v>
      </c>
      <c r="I93" s="39">
        <f>F93*G93*H93</f>
        <v>0</v>
      </c>
      <c r="J93" s="28" t="s">
        <v>188</v>
      </c>
    </row>
    <row r="94" spans="2:10" s="4" customFormat="1" ht="42.75" x14ac:dyDescent="0.25">
      <c r="B94" s="43" t="s">
        <v>190</v>
      </c>
      <c r="C94" s="17" t="s">
        <v>89</v>
      </c>
      <c r="D94" s="20">
        <v>185811111</v>
      </c>
      <c r="E94" s="20" t="s">
        <v>32</v>
      </c>
      <c r="F94" s="20">
        <f>2374*0.1</f>
        <v>237.4</v>
      </c>
      <c r="G94" s="123"/>
      <c r="H94" s="20">
        <v>2</v>
      </c>
      <c r="I94" s="18">
        <f>F94*G94*H94</f>
        <v>0</v>
      </c>
      <c r="J94" s="25" t="s">
        <v>189</v>
      </c>
    </row>
    <row r="95" spans="2:10" s="3" customFormat="1" ht="15" customHeight="1" x14ac:dyDescent="0.25">
      <c r="B95" s="138" t="s">
        <v>33</v>
      </c>
      <c r="C95" s="139"/>
      <c r="D95" s="139"/>
      <c r="E95" s="139"/>
      <c r="F95" s="139"/>
      <c r="G95" s="139"/>
      <c r="H95" s="140"/>
      <c r="I95" s="19">
        <f>SUM(I92:I94)</f>
        <v>0</v>
      </c>
      <c r="J95" s="14"/>
    </row>
    <row r="97" spans="2:10" ht="15" x14ac:dyDescent="0.25">
      <c r="B97" s="11">
        <v>9</v>
      </c>
      <c r="C97" s="3" t="s">
        <v>86</v>
      </c>
      <c r="D97" s="11"/>
      <c r="E97" s="11"/>
      <c r="F97" s="11"/>
      <c r="G97" s="11"/>
    </row>
    <row r="98" spans="2:10" s="4" customFormat="1" ht="21" customHeight="1" x14ac:dyDescent="0.25">
      <c r="B98" s="7"/>
      <c r="C98" s="141" t="s">
        <v>193</v>
      </c>
      <c r="D98" s="141"/>
      <c r="E98" s="141"/>
      <c r="F98" s="141"/>
      <c r="G98" s="141"/>
      <c r="H98" s="141"/>
      <c r="I98" s="141"/>
      <c r="J98" s="141"/>
    </row>
    <row r="99" spans="2:10" ht="42.75" x14ac:dyDescent="0.2">
      <c r="B99" s="8" t="s">
        <v>0</v>
      </c>
      <c r="C99" s="12" t="s">
        <v>24</v>
      </c>
      <c r="D99" s="22" t="s">
        <v>30</v>
      </c>
      <c r="E99" s="22" t="s">
        <v>48</v>
      </c>
      <c r="F99" s="22" t="s">
        <v>29</v>
      </c>
      <c r="G99" s="22" t="s">
        <v>26</v>
      </c>
      <c r="H99" s="22" t="s">
        <v>25</v>
      </c>
      <c r="I99" s="22" t="s">
        <v>31</v>
      </c>
      <c r="J99" s="22" t="s">
        <v>27</v>
      </c>
    </row>
    <row r="100" spans="2:10" s="4" customFormat="1" ht="36.75" customHeight="1" x14ac:dyDescent="0.25">
      <c r="B100" s="43" t="s">
        <v>150</v>
      </c>
      <c r="C100" s="17" t="s">
        <v>192</v>
      </c>
      <c r="D100" s="20" t="s">
        <v>84</v>
      </c>
      <c r="E100" s="20" t="s">
        <v>39</v>
      </c>
      <c r="F100" s="20">
        <v>6</v>
      </c>
      <c r="G100" s="123"/>
      <c r="H100" s="20">
        <v>28</v>
      </c>
      <c r="I100" s="18">
        <f>H100*G100*F100</f>
        <v>0</v>
      </c>
      <c r="J100" s="20" t="s">
        <v>117</v>
      </c>
    </row>
    <row r="101" spans="2:10" s="4" customFormat="1" ht="42.75" x14ac:dyDescent="0.25">
      <c r="B101" s="43" t="s">
        <v>151</v>
      </c>
      <c r="C101" s="17" t="s">
        <v>116</v>
      </c>
      <c r="D101" s="20" t="s">
        <v>56</v>
      </c>
      <c r="E101" s="20" t="s">
        <v>42</v>
      </c>
      <c r="F101" s="20">
        <v>0.3</v>
      </c>
      <c r="G101" s="123"/>
      <c r="H101" s="20">
        <v>24</v>
      </c>
      <c r="I101" s="18">
        <f>H101*G101*F101</f>
        <v>0</v>
      </c>
      <c r="J101" s="23" t="s">
        <v>113</v>
      </c>
    </row>
    <row r="102" spans="2:10" s="59" customFormat="1" x14ac:dyDescent="0.2">
      <c r="B102" s="55" t="s">
        <v>161</v>
      </c>
      <c r="C102" s="53" t="s">
        <v>87</v>
      </c>
      <c r="D102" s="35" t="s">
        <v>84</v>
      </c>
      <c r="E102" s="35" t="s">
        <v>39</v>
      </c>
      <c r="F102" s="35">
        <v>1</v>
      </c>
      <c r="G102" s="125"/>
      <c r="H102" s="35">
        <v>28</v>
      </c>
      <c r="I102" s="121">
        <f>H102*G102*F102</f>
        <v>0</v>
      </c>
      <c r="J102" s="35"/>
    </row>
    <row r="103" spans="2:10" s="3" customFormat="1" ht="15" customHeight="1" x14ac:dyDescent="0.25">
      <c r="B103" s="138" t="s">
        <v>33</v>
      </c>
      <c r="C103" s="139"/>
      <c r="D103" s="139"/>
      <c r="E103" s="139"/>
      <c r="F103" s="139"/>
      <c r="G103" s="139"/>
      <c r="H103" s="140"/>
      <c r="I103" s="19">
        <f>SUM(I100:I102)</f>
        <v>0</v>
      </c>
      <c r="J103" s="14"/>
    </row>
  </sheetData>
  <sheetProtection algorithmName="SHA-512" hashValue="UE9VV8lSR2x9IxO+cQ9CWvvIosDW/tao/1txjOyuJkzh5dHKvSmepb3jvzzh7MCDpzEDGGNEl5fV5kbeJu7zJQ==" saltValue="9uAvUNDYJve1jOPf2XHPSA==" spinCount="100000" sheet="1" objects="1" scenarios="1"/>
  <mergeCells count="45">
    <mergeCell ref="C9:D9"/>
    <mergeCell ref="G9:J9"/>
    <mergeCell ref="B54:H54"/>
    <mergeCell ref="C57:J57"/>
    <mergeCell ref="B65:H65"/>
    <mergeCell ref="G15:J15"/>
    <mergeCell ref="C15:D15"/>
    <mergeCell ref="C10:D10"/>
    <mergeCell ref="G10:J10"/>
    <mergeCell ref="C11:D11"/>
    <mergeCell ref="G11:J11"/>
    <mergeCell ref="C12:D12"/>
    <mergeCell ref="G12:J12"/>
    <mergeCell ref="C13:D13"/>
    <mergeCell ref="G13:J13"/>
    <mergeCell ref="C14:D14"/>
    <mergeCell ref="B4:C4"/>
    <mergeCell ref="D4:J4"/>
    <mergeCell ref="B5:J5"/>
    <mergeCell ref="C8:D8"/>
    <mergeCell ref="G8:J8"/>
    <mergeCell ref="G14:J14"/>
    <mergeCell ref="B19:F19"/>
    <mergeCell ref="G19:J19"/>
    <mergeCell ref="C24:J24"/>
    <mergeCell ref="B27:H27"/>
    <mergeCell ref="C16:D16"/>
    <mergeCell ref="G16:J16"/>
    <mergeCell ref="C17:D17"/>
    <mergeCell ref="G17:J17"/>
    <mergeCell ref="B18:F18"/>
    <mergeCell ref="G18:J18"/>
    <mergeCell ref="C98:J98"/>
    <mergeCell ref="B103:H103"/>
    <mergeCell ref="C68:J68"/>
    <mergeCell ref="B78:H78"/>
    <mergeCell ref="C90:J90"/>
    <mergeCell ref="B95:H95"/>
    <mergeCell ref="C81:J81"/>
    <mergeCell ref="B87:H87"/>
    <mergeCell ref="C30:J30"/>
    <mergeCell ref="B37:H37"/>
    <mergeCell ref="C40:J40"/>
    <mergeCell ref="B48:H48"/>
    <mergeCell ref="C51:J5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0" orientation="portrait" r:id="rId1"/>
  <headerFooter>
    <oddHeader>&amp;CPLÁN ÚDRŽBY NA POZEMCÍCH SPRÁVY KRNAP VE VRCHLABÍ</oddHeader>
  </headerFooter>
  <rowBreaks count="2" manualBreakCount="2">
    <brk id="48" min="1" max="9" man="1"/>
    <brk id="87" min="1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18"/>
  <sheetViews>
    <sheetView topLeftCell="A4" zoomScale="80" zoomScaleNormal="80" zoomScaleSheetLayoutView="90" workbookViewId="0">
      <selection activeCell="O101" sqref="O101"/>
    </sheetView>
  </sheetViews>
  <sheetFormatPr defaultRowHeight="14.25" x14ac:dyDescent="0.2"/>
  <cols>
    <col min="1" max="1" width="9.140625" style="1"/>
    <col min="2" max="2" width="9.140625" style="9"/>
    <col min="3" max="3" width="36.5703125" style="1" customWidth="1"/>
    <col min="4" max="4" width="13" style="9" customWidth="1"/>
    <col min="5" max="5" width="6.5703125" style="9" customWidth="1"/>
    <col min="6" max="6" width="11.28515625" style="9" customWidth="1"/>
    <col min="7" max="7" width="13.7109375" style="9" customWidth="1"/>
    <col min="8" max="8" width="11" style="9" customWidth="1"/>
    <col min="9" max="9" width="14.5703125" style="9" customWidth="1"/>
    <col min="10" max="10" width="33.42578125" style="9" customWidth="1"/>
    <col min="11" max="13" width="9.140625" style="1"/>
    <col min="14" max="14" width="21" style="1" customWidth="1"/>
    <col min="15" max="15" width="26.7109375" style="1" customWidth="1"/>
    <col min="16" max="16384" width="9.140625" style="1"/>
  </cols>
  <sheetData>
    <row r="2" spans="2:10" ht="27" customHeight="1" x14ac:dyDescent="0.25">
      <c r="B2" s="16" t="s">
        <v>52</v>
      </c>
      <c r="C2" s="10"/>
    </row>
    <row r="3" spans="2:10" ht="17.25" customHeight="1" x14ac:dyDescent="0.25">
      <c r="C3" s="10"/>
    </row>
    <row r="4" spans="2:10" ht="18" x14ac:dyDescent="0.25">
      <c r="B4" s="152" t="s">
        <v>54</v>
      </c>
      <c r="C4" s="152"/>
      <c r="D4" s="153">
        <v>5</v>
      </c>
      <c r="E4" s="153"/>
      <c r="F4" s="153"/>
      <c r="G4" s="153"/>
      <c r="H4" s="153"/>
      <c r="I4" s="153"/>
      <c r="J4" s="153"/>
    </row>
    <row r="5" spans="2:10" ht="34.5" customHeight="1" x14ac:dyDescent="0.2">
      <c r="B5" s="154" t="s">
        <v>43</v>
      </c>
      <c r="C5" s="155"/>
      <c r="D5" s="155"/>
      <c r="E5" s="155"/>
      <c r="F5" s="155"/>
      <c r="G5" s="155"/>
      <c r="H5" s="155"/>
      <c r="I5" s="155"/>
      <c r="J5" s="156"/>
    </row>
    <row r="7" spans="2:10" ht="15" x14ac:dyDescent="0.25">
      <c r="B7" s="15" t="s">
        <v>152</v>
      </c>
      <c r="C7" s="3"/>
      <c r="D7" s="1"/>
      <c r="E7" s="1"/>
      <c r="F7" s="1"/>
      <c r="G7" s="1"/>
      <c r="H7" s="1"/>
      <c r="I7" s="1"/>
      <c r="J7" s="1"/>
    </row>
    <row r="8" spans="2:10" s="4" customFormat="1" ht="19.5" customHeight="1" x14ac:dyDescent="0.25">
      <c r="B8" s="8" t="s">
        <v>53</v>
      </c>
      <c r="C8" s="176" t="s">
        <v>14</v>
      </c>
      <c r="D8" s="177"/>
      <c r="E8" s="8" t="s">
        <v>48</v>
      </c>
      <c r="F8" s="13" t="s">
        <v>49</v>
      </c>
      <c r="G8" s="158" t="s">
        <v>51</v>
      </c>
      <c r="H8" s="158"/>
      <c r="I8" s="158"/>
      <c r="J8" s="158"/>
    </row>
    <row r="9" spans="2:10" s="4" customFormat="1" x14ac:dyDescent="0.25">
      <c r="B9" s="70">
        <v>1</v>
      </c>
      <c r="C9" s="151" t="s">
        <v>47</v>
      </c>
      <c r="D9" s="151"/>
      <c r="E9" s="70" t="s">
        <v>39</v>
      </c>
      <c r="F9" s="99">
        <v>4</v>
      </c>
      <c r="G9" s="161">
        <f>I28</f>
        <v>0</v>
      </c>
      <c r="H9" s="161"/>
      <c r="I9" s="161"/>
      <c r="J9" s="161"/>
    </row>
    <row r="10" spans="2:10" s="4" customFormat="1" x14ac:dyDescent="0.25">
      <c r="B10" s="70">
        <v>2</v>
      </c>
      <c r="C10" s="151" t="s">
        <v>46</v>
      </c>
      <c r="D10" s="151"/>
      <c r="E10" s="70" t="s">
        <v>39</v>
      </c>
      <c r="F10" s="99">
        <v>11</v>
      </c>
      <c r="G10" s="161">
        <f>I34</f>
        <v>0</v>
      </c>
      <c r="H10" s="161"/>
      <c r="I10" s="161"/>
      <c r="J10" s="161"/>
    </row>
    <row r="11" spans="2:10" s="4" customFormat="1" ht="16.5" x14ac:dyDescent="0.25">
      <c r="B11" s="70">
        <v>3</v>
      </c>
      <c r="C11" s="151" t="s">
        <v>1</v>
      </c>
      <c r="D11" s="151"/>
      <c r="E11" s="70" t="s">
        <v>50</v>
      </c>
      <c r="F11" s="99">
        <v>39</v>
      </c>
      <c r="G11" s="161">
        <f>I44</f>
        <v>0</v>
      </c>
      <c r="H11" s="161"/>
      <c r="I11" s="161"/>
      <c r="J11" s="161"/>
    </row>
    <row r="12" spans="2:10" s="4" customFormat="1" ht="16.5" x14ac:dyDescent="0.25">
      <c r="B12" s="70">
        <v>4</v>
      </c>
      <c r="C12" s="151" t="s">
        <v>3</v>
      </c>
      <c r="D12" s="151"/>
      <c r="E12" s="70" t="s">
        <v>32</v>
      </c>
      <c r="F12" s="99">
        <v>35</v>
      </c>
      <c r="G12" s="161">
        <f>I52</f>
        <v>0</v>
      </c>
      <c r="H12" s="161"/>
      <c r="I12" s="161"/>
      <c r="J12" s="161"/>
    </row>
    <row r="13" spans="2:10" s="4" customFormat="1" ht="16.5" x14ac:dyDescent="0.25">
      <c r="B13" s="70">
        <v>5</v>
      </c>
      <c r="C13" s="151" t="s">
        <v>45</v>
      </c>
      <c r="D13" s="151"/>
      <c r="E13" s="70" t="s">
        <v>50</v>
      </c>
      <c r="F13" s="99">
        <v>140</v>
      </c>
      <c r="G13" s="161">
        <f>I69</f>
        <v>0</v>
      </c>
      <c r="H13" s="161"/>
      <c r="I13" s="161"/>
      <c r="J13" s="161"/>
    </row>
    <row r="14" spans="2:10" s="4" customFormat="1" x14ac:dyDescent="0.25">
      <c r="B14" s="70">
        <v>6</v>
      </c>
      <c r="C14" s="151" t="s">
        <v>41</v>
      </c>
      <c r="D14" s="151"/>
      <c r="E14" s="70" t="s">
        <v>39</v>
      </c>
      <c r="F14" s="99">
        <v>8</v>
      </c>
      <c r="G14" s="161">
        <f>I77</f>
        <v>0</v>
      </c>
      <c r="H14" s="161"/>
      <c r="I14" s="161"/>
      <c r="J14" s="161"/>
    </row>
    <row r="15" spans="2:10" s="4" customFormat="1" ht="16.5" x14ac:dyDescent="0.25">
      <c r="B15" s="70">
        <v>7</v>
      </c>
      <c r="C15" s="151" t="s">
        <v>553</v>
      </c>
      <c r="D15" s="151"/>
      <c r="E15" s="70" t="s">
        <v>32</v>
      </c>
      <c r="F15" s="99">
        <v>1203</v>
      </c>
      <c r="G15" s="161">
        <f>I88</f>
        <v>0</v>
      </c>
      <c r="H15" s="161"/>
      <c r="I15" s="161"/>
      <c r="J15" s="161"/>
    </row>
    <row r="16" spans="2:10" s="4" customFormat="1" ht="16.5" x14ac:dyDescent="0.25">
      <c r="B16" s="70">
        <v>8</v>
      </c>
      <c r="C16" s="166" t="s">
        <v>314</v>
      </c>
      <c r="D16" s="167"/>
      <c r="E16" s="70" t="s">
        <v>32</v>
      </c>
      <c r="F16" s="100">
        <v>28</v>
      </c>
      <c r="G16" s="161">
        <f>I104</f>
        <v>0</v>
      </c>
      <c r="H16" s="161"/>
      <c r="I16" s="161"/>
      <c r="J16" s="161"/>
    </row>
    <row r="17" spans="2:10" s="4" customFormat="1" ht="16.5" x14ac:dyDescent="0.25">
      <c r="B17" s="70">
        <v>9</v>
      </c>
      <c r="C17" s="166" t="s">
        <v>55</v>
      </c>
      <c r="D17" s="167"/>
      <c r="E17" s="70" t="s">
        <v>32</v>
      </c>
      <c r="F17" s="99">
        <v>685</v>
      </c>
      <c r="G17" s="161">
        <f>I111</f>
        <v>0</v>
      </c>
      <c r="H17" s="161"/>
      <c r="I17" s="161"/>
      <c r="J17" s="161"/>
    </row>
    <row r="18" spans="2:10" s="4" customFormat="1" x14ac:dyDescent="0.25">
      <c r="B18" s="70">
        <v>10</v>
      </c>
      <c r="C18" s="166" t="s">
        <v>86</v>
      </c>
      <c r="D18" s="167"/>
      <c r="E18" s="70" t="s">
        <v>194</v>
      </c>
      <c r="F18" s="99">
        <v>1</v>
      </c>
      <c r="G18" s="161">
        <f>I118</f>
        <v>0</v>
      </c>
      <c r="H18" s="161"/>
      <c r="I18" s="161"/>
      <c r="J18" s="161"/>
    </row>
    <row r="19" spans="2:10" s="3" customFormat="1" ht="21.95" customHeight="1" x14ac:dyDescent="0.25">
      <c r="B19" s="145" t="s">
        <v>153</v>
      </c>
      <c r="C19" s="146"/>
      <c r="D19" s="146"/>
      <c r="E19" s="146"/>
      <c r="F19" s="147"/>
      <c r="G19" s="162">
        <f>SUM(G9:G18)</f>
        <v>0</v>
      </c>
      <c r="H19" s="163"/>
      <c r="I19" s="163"/>
      <c r="J19" s="164"/>
    </row>
    <row r="20" spans="2:10" s="3" customFormat="1" ht="21.95" customHeight="1" x14ac:dyDescent="0.25">
      <c r="B20" s="145" t="s">
        <v>154</v>
      </c>
      <c r="C20" s="146"/>
      <c r="D20" s="146"/>
      <c r="E20" s="146"/>
      <c r="F20" s="147"/>
      <c r="G20" s="162">
        <f>G19*4</f>
        <v>0</v>
      </c>
      <c r="H20" s="163"/>
      <c r="I20" s="163"/>
      <c r="J20" s="164"/>
    </row>
    <row r="21" spans="2:10" x14ac:dyDescent="0.2">
      <c r="D21" s="1"/>
      <c r="E21" s="1"/>
      <c r="F21" s="1"/>
      <c r="G21" s="1"/>
      <c r="H21" s="1"/>
      <c r="I21" s="1"/>
      <c r="J21" s="1"/>
    </row>
    <row r="22" spans="2:10" ht="27" customHeight="1" x14ac:dyDescent="0.25">
      <c r="C22" s="10" t="s">
        <v>28</v>
      </c>
    </row>
    <row r="24" spans="2:10" ht="15" x14ac:dyDescent="0.25">
      <c r="B24" s="11">
        <v>1</v>
      </c>
      <c r="C24" s="3" t="s">
        <v>47</v>
      </c>
      <c r="D24" s="11"/>
      <c r="E24" s="11"/>
      <c r="F24" s="11"/>
      <c r="G24" s="11"/>
    </row>
    <row r="25" spans="2:10" s="4" customFormat="1" ht="39" customHeight="1" x14ac:dyDescent="0.25">
      <c r="B25" s="7"/>
      <c r="C25" s="141" t="s">
        <v>79</v>
      </c>
      <c r="D25" s="141"/>
      <c r="E25" s="141"/>
      <c r="F25" s="141"/>
      <c r="G25" s="141"/>
      <c r="H25" s="141"/>
      <c r="I25" s="141"/>
      <c r="J25" s="141"/>
    </row>
    <row r="26" spans="2:10" ht="42.75" x14ac:dyDescent="0.2">
      <c r="B26" s="8" t="s">
        <v>0</v>
      </c>
      <c r="C26" s="12" t="s">
        <v>24</v>
      </c>
      <c r="D26" s="22" t="s">
        <v>30</v>
      </c>
      <c r="E26" s="22" t="s">
        <v>48</v>
      </c>
      <c r="F26" s="22" t="s">
        <v>29</v>
      </c>
      <c r="G26" s="22" t="s">
        <v>26</v>
      </c>
      <c r="H26" s="22" t="s">
        <v>25</v>
      </c>
      <c r="I26" s="22" t="s">
        <v>31</v>
      </c>
      <c r="J26" s="22" t="s">
        <v>27</v>
      </c>
    </row>
    <row r="27" spans="2:10" s="4" customFormat="1" ht="114" x14ac:dyDescent="0.25">
      <c r="B27" s="43" t="s">
        <v>118</v>
      </c>
      <c r="C27" s="17" t="s">
        <v>73</v>
      </c>
      <c r="D27" s="20" t="s">
        <v>56</v>
      </c>
      <c r="E27" s="20" t="s">
        <v>39</v>
      </c>
      <c r="F27" s="20">
        <v>4</v>
      </c>
      <c r="G27" s="123"/>
      <c r="H27" s="20">
        <v>1</v>
      </c>
      <c r="I27" s="18">
        <f>H27*G27*F27</f>
        <v>0</v>
      </c>
      <c r="J27" s="23" t="s">
        <v>78</v>
      </c>
    </row>
    <row r="28" spans="2:10" s="3" customFormat="1" ht="15" customHeight="1" x14ac:dyDescent="0.25">
      <c r="B28" s="138" t="s">
        <v>33</v>
      </c>
      <c r="C28" s="139"/>
      <c r="D28" s="139"/>
      <c r="E28" s="139"/>
      <c r="F28" s="139"/>
      <c r="G28" s="139"/>
      <c r="H28" s="140"/>
      <c r="I28" s="19">
        <f>SUM(I27)</f>
        <v>0</v>
      </c>
      <c r="J28" s="14"/>
    </row>
    <row r="30" spans="2:10" ht="15" x14ac:dyDescent="0.25">
      <c r="B30" s="11">
        <v>2</v>
      </c>
      <c r="C30" s="3" t="s">
        <v>46</v>
      </c>
      <c r="D30" s="11"/>
      <c r="E30" s="11"/>
      <c r="F30" s="11"/>
      <c r="G30" s="11"/>
    </row>
    <row r="31" spans="2:10" s="4" customFormat="1" ht="39" customHeight="1" x14ac:dyDescent="0.25">
      <c r="B31" s="7"/>
      <c r="C31" s="141" t="s">
        <v>80</v>
      </c>
      <c r="D31" s="141"/>
      <c r="E31" s="141"/>
      <c r="F31" s="141"/>
      <c r="G31" s="141"/>
      <c r="H31" s="141"/>
      <c r="I31" s="141"/>
      <c r="J31" s="141"/>
    </row>
    <row r="32" spans="2:10" ht="42.75" x14ac:dyDescent="0.2">
      <c r="B32" s="8" t="s">
        <v>0</v>
      </c>
      <c r="C32" s="12" t="s">
        <v>24</v>
      </c>
      <c r="D32" s="22" t="s">
        <v>30</v>
      </c>
      <c r="E32" s="22" t="s">
        <v>48</v>
      </c>
      <c r="F32" s="22" t="s">
        <v>29</v>
      </c>
      <c r="G32" s="22" t="s">
        <v>26</v>
      </c>
      <c r="H32" s="22" t="s">
        <v>25</v>
      </c>
      <c r="I32" s="22" t="s">
        <v>31</v>
      </c>
      <c r="J32" s="22" t="s">
        <v>27</v>
      </c>
    </row>
    <row r="33" spans="2:10" s="4" customFormat="1" ht="128.25" x14ac:dyDescent="0.25">
      <c r="B33" s="43" t="s">
        <v>119</v>
      </c>
      <c r="C33" s="17" t="s">
        <v>74</v>
      </c>
      <c r="D33" s="20" t="s">
        <v>56</v>
      </c>
      <c r="E33" s="20" t="s">
        <v>39</v>
      </c>
      <c r="F33" s="20">
        <v>11</v>
      </c>
      <c r="G33" s="123"/>
      <c r="H33" s="20">
        <v>1</v>
      </c>
      <c r="I33" s="18">
        <f>H33*G33*F33</f>
        <v>0</v>
      </c>
      <c r="J33" s="77" t="s">
        <v>554</v>
      </c>
    </row>
    <row r="34" spans="2:10" s="3" customFormat="1" ht="15" customHeight="1" x14ac:dyDescent="0.25">
      <c r="B34" s="138" t="s">
        <v>33</v>
      </c>
      <c r="C34" s="139"/>
      <c r="D34" s="139"/>
      <c r="E34" s="139"/>
      <c r="F34" s="139"/>
      <c r="G34" s="139"/>
      <c r="H34" s="140"/>
      <c r="I34" s="19">
        <f>SUM(I33)</f>
        <v>0</v>
      </c>
      <c r="J34" s="14"/>
    </row>
    <row r="36" spans="2:10" ht="15" x14ac:dyDescent="0.25">
      <c r="B36" s="11">
        <v>3</v>
      </c>
      <c r="C36" s="3" t="s">
        <v>1</v>
      </c>
      <c r="D36" s="11"/>
      <c r="E36" s="11"/>
      <c r="F36" s="11"/>
      <c r="G36" s="11"/>
    </row>
    <row r="37" spans="2:10" s="4" customFormat="1" ht="63.75" customHeight="1" x14ac:dyDescent="0.25">
      <c r="B37" s="7"/>
      <c r="C37" s="165" t="s">
        <v>577</v>
      </c>
      <c r="D37" s="165"/>
      <c r="E37" s="165"/>
      <c r="F37" s="165"/>
      <c r="G37" s="165"/>
      <c r="H37" s="165"/>
      <c r="I37" s="165"/>
      <c r="J37" s="165"/>
    </row>
    <row r="38" spans="2:10" ht="42.75" x14ac:dyDescent="0.2">
      <c r="B38" s="8" t="s">
        <v>0</v>
      </c>
      <c r="C38" s="12" t="s">
        <v>24</v>
      </c>
      <c r="D38" s="22" t="s">
        <v>30</v>
      </c>
      <c r="E38" s="22" t="s">
        <v>48</v>
      </c>
      <c r="F38" s="22" t="s">
        <v>29</v>
      </c>
      <c r="G38" s="22" t="s">
        <v>26</v>
      </c>
      <c r="H38" s="22" t="s">
        <v>25</v>
      </c>
      <c r="I38" s="22" t="s">
        <v>31</v>
      </c>
      <c r="J38" s="22" t="s">
        <v>27</v>
      </c>
    </row>
    <row r="39" spans="2:10" s="4" customFormat="1" ht="28.5" x14ac:dyDescent="0.25">
      <c r="B39" s="43" t="s">
        <v>120</v>
      </c>
      <c r="C39" s="17" t="s">
        <v>77</v>
      </c>
      <c r="D39" s="20">
        <v>185804214</v>
      </c>
      <c r="E39" s="20" t="s">
        <v>50</v>
      </c>
      <c r="F39" s="20">
        <v>39</v>
      </c>
      <c r="G39" s="123"/>
      <c r="H39" s="20">
        <v>3</v>
      </c>
      <c r="I39" s="18">
        <f>H39*G39*F39</f>
        <v>0</v>
      </c>
      <c r="J39" s="23"/>
    </row>
    <row r="40" spans="2:10" s="81" customFormat="1" ht="57" x14ac:dyDescent="0.25">
      <c r="B40" s="55" t="s">
        <v>121</v>
      </c>
      <c r="C40" s="36" t="s">
        <v>81</v>
      </c>
      <c r="D40" s="76" t="s">
        <v>56</v>
      </c>
      <c r="E40" s="76" t="s">
        <v>50</v>
      </c>
      <c r="F40" s="76">
        <f>39*0.3</f>
        <v>11.7</v>
      </c>
      <c r="G40" s="125"/>
      <c r="H40" s="76">
        <v>1</v>
      </c>
      <c r="I40" s="78">
        <f>H40*G40*F40</f>
        <v>0</v>
      </c>
      <c r="J40" s="6" t="s">
        <v>555</v>
      </c>
    </row>
    <row r="41" spans="2:10" s="81" customFormat="1" ht="57" x14ac:dyDescent="0.25">
      <c r="B41" s="55" t="s">
        <v>122</v>
      </c>
      <c r="C41" s="36" t="s">
        <v>82</v>
      </c>
      <c r="D41" s="76" t="s">
        <v>56</v>
      </c>
      <c r="E41" s="76" t="s">
        <v>50</v>
      </c>
      <c r="F41" s="76">
        <f>39*0.6</f>
        <v>23.4</v>
      </c>
      <c r="G41" s="125"/>
      <c r="H41" s="76">
        <v>1</v>
      </c>
      <c r="I41" s="78">
        <f>H41*G41*F41</f>
        <v>0</v>
      </c>
      <c r="J41" s="6" t="s">
        <v>556</v>
      </c>
    </row>
    <row r="42" spans="2:10" s="4" customFormat="1" ht="28.5" x14ac:dyDescent="0.25">
      <c r="B42" s="43" t="s">
        <v>123</v>
      </c>
      <c r="C42" s="17" t="s">
        <v>75</v>
      </c>
      <c r="D42" s="20">
        <v>185802113</v>
      </c>
      <c r="E42" s="20" t="s">
        <v>37</v>
      </c>
      <c r="F42" s="20">
        <f>(F39*20)/1000000</f>
        <v>7.7999999999999999E-4</v>
      </c>
      <c r="G42" s="123"/>
      <c r="H42" s="20">
        <v>1</v>
      </c>
      <c r="I42" s="18">
        <f>H42*G42*F42</f>
        <v>0</v>
      </c>
      <c r="J42" s="77" t="s">
        <v>557</v>
      </c>
    </row>
    <row r="43" spans="2:10" s="4" customFormat="1" x14ac:dyDescent="0.25">
      <c r="B43" s="43" t="s">
        <v>124</v>
      </c>
      <c r="C43" s="36" t="s">
        <v>83</v>
      </c>
      <c r="D43" s="37">
        <v>251911550</v>
      </c>
      <c r="E43" s="20" t="s">
        <v>57</v>
      </c>
      <c r="F43" s="20">
        <f>(F39*20)/1000</f>
        <v>0.78</v>
      </c>
      <c r="G43" s="123"/>
      <c r="H43" s="20">
        <v>1</v>
      </c>
      <c r="I43" s="18">
        <f>H43*G43*F43</f>
        <v>0</v>
      </c>
      <c r="J43" s="23"/>
    </row>
    <row r="44" spans="2:10" s="3" customFormat="1" ht="15" customHeight="1" x14ac:dyDescent="0.25">
      <c r="B44" s="138" t="s">
        <v>33</v>
      </c>
      <c r="C44" s="139"/>
      <c r="D44" s="139"/>
      <c r="E44" s="139"/>
      <c r="F44" s="139"/>
      <c r="G44" s="139"/>
      <c r="H44" s="140"/>
      <c r="I44" s="19">
        <f>SUM(I39:I43)</f>
        <v>0</v>
      </c>
      <c r="J44" s="14"/>
    </row>
    <row r="46" spans="2:10" ht="15" x14ac:dyDescent="0.25">
      <c r="B46" s="11">
        <v>4</v>
      </c>
      <c r="C46" s="3" t="s">
        <v>3</v>
      </c>
      <c r="D46" s="11"/>
      <c r="E46" s="11"/>
      <c r="F46" s="11"/>
      <c r="G46" s="11"/>
    </row>
    <row r="47" spans="2:10" s="4" customFormat="1" ht="64.5" customHeight="1" x14ac:dyDescent="0.25">
      <c r="B47" s="7"/>
      <c r="C47" s="165" t="s">
        <v>558</v>
      </c>
      <c r="D47" s="165"/>
      <c r="E47" s="165"/>
      <c r="F47" s="165"/>
      <c r="G47" s="165"/>
      <c r="H47" s="165"/>
      <c r="I47" s="165"/>
      <c r="J47" s="165"/>
    </row>
    <row r="48" spans="2:10" ht="42.75" x14ac:dyDescent="0.2">
      <c r="B48" s="8" t="s">
        <v>0</v>
      </c>
      <c r="C48" s="12" t="s">
        <v>24</v>
      </c>
      <c r="D48" s="22" t="s">
        <v>30</v>
      </c>
      <c r="E48" s="22" t="s">
        <v>48</v>
      </c>
      <c r="F48" s="22" t="s">
        <v>29</v>
      </c>
      <c r="G48" s="22" t="s">
        <v>26</v>
      </c>
      <c r="H48" s="22" t="s">
        <v>25</v>
      </c>
      <c r="I48" s="22" t="s">
        <v>31</v>
      </c>
      <c r="J48" s="22" t="s">
        <v>27</v>
      </c>
    </row>
    <row r="49" spans="2:10" s="4" customFormat="1" ht="28.5" x14ac:dyDescent="0.25">
      <c r="B49" s="43" t="s">
        <v>125</v>
      </c>
      <c r="C49" s="17" t="s">
        <v>77</v>
      </c>
      <c r="D49" s="20">
        <v>185804214</v>
      </c>
      <c r="E49" s="20" t="s">
        <v>50</v>
      </c>
      <c r="F49" s="20">
        <f>35/2</f>
        <v>17.5</v>
      </c>
      <c r="G49" s="123"/>
      <c r="H49" s="20">
        <v>3</v>
      </c>
      <c r="I49" s="18">
        <f>H49*G49*F49</f>
        <v>0</v>
      </c>
      <c r="J49" s="23" t="s">
        <v>106</v>
      </c>
    </row>
    <row r="50" spans="2:10" s="4" customFormat="1" ht="28.5" x14ac:dyDescent="0.25">
      <c r="B50" s="43" t="s">
        <v>126</v>
      </c>
      <c r="C50" s="17" t="s">
        <v>82</v>
      </c>
      <c r="D50" s="20" t="s">
        <v>56</v>
      </c>
      <c r="E50" s="20" t="s">
        <v>50</v>
      </c>
      <c r="F50" s="20">
        <f>35*0.3</f>
        <v>10.5</v>
      </c>
      <c r="G50" s="123"/>
      <c r="H50" s="20">
        <v>1</v>
      </c>
      <c r="I50" s="18">
        <f>H50*G50*F50</f>
        <v>0</v>
      </c>
      <c r="J50" s="77" t="s">
        <v>559</v>
      </c>
    </row>
    <row r="51" spans="2:10" s="4" customFormat="1" ht="28.5" x14ac:dyDescent="0.25">
      <c r="B51" s="43" t="s">
        <v>127</v>
      </c>
      <c r="C51" s="17" t="s">
        <v>101</v>
      </c>
      <c r="D51" s="20">
        <v>185803511</v>
      </c>
      <c r="E51" s="20" t="s">
        <v>50</v>
      </c>
      <c r="F51" s="20">
        <v>3.9</v>
      </c>
      <c r="G51" s="123"/>
      <c r="H51" s="20">
        <v>3</v>
      </c>
      <c r="I51" s="18">
        <f t="shared" ref="I51" si="0">H51*G51*F51</f>
        <v>0</v>
      </c>
      <c r="J51" s="23" t="s">
        <v>98</v>
      </c>
    </row>
    <row r="52" spans="2:10" s="3" customFormat="1" ht="15" customHeight="1" x14ac:dyDescent="0.25">
      <c r="B52" s="138" t="s">
        <v>33</v>
      </c>
      <c r="C52" s="139"/>
      <c r="D52" s="139"/>
      <c r="E52" s="139"/>
      <c r="F52" s="139"/>
      <c r="G52" s="139"/>
      <c r="H52" s="140"/>
      <c r="I52" s="19">
        <f>SUM(I49:I51)</f>
        <v>0</v>
      </c>
      <c r="J52" s="14"/>
    </row>
    <row r="54" spans="2:10" s="3" customFormat="1" ht="15" x14ac:dyDescent="0.25">
      <c r="B54" s="11">
        <v>5</v>
      </c>
      <c r="C54" s="3" t="s">
        <v>40</v>
      </c>
      <c r="D54" s="11"/>
      <c r="E54" s="11"/>
      <c r="F54" s="11"/>
      <c r="G54" s="11"/>
      <c r="H54" s="11"/>
      <c r="I54" s="11"/>
      <c r="J54" s="11"/>
    </row>
    <row r="55" spans="2:10" s="4" customFormat="1" ht="93.75" customHeight="1" x14ac:dyDescent="0.25">
      <c r="B55" s="7"/>
      <c r="C55" s="141" t="s">
        <v>104</v>
      </c>
      <c r="D55" s="141"/>
      <c r="E55" s="141"/>
      <c r="F55" s="141"/>
      <c r="G55" s="141"/>
      <c r="H55" s="141"/>
      <c r="I55" s="141"/>
      <c r="J55" s="141"/>
    </row>
    <row r="56" spans="2:10" ht="42.75" x14ac:dyDescent="0.2">
      <c r="B56" s="8" t="s">
        <v>0</v>
      </c>
      <c r="C56" s="12" t="s">
        <v>24</v>
      </c>
      <c r="D56" s="22" t="s">
        <v>30</v>
      </c>
      <c r="E56" s="22" t="s">
        <v>48</v>
      </c>
      <c r="F56" s="22" t="s">
        <v>29</v>
      </c>
      <c r="G56" s="22" t="s">
        <v>26</v>
      </c>
      <c r="H56" s="22" t="s">
        <v>25</v>
      </c>
      <c r="I56" s="22" t="s">
        <v>31</v>
      </c>
      <c r="J56" s="22" t="s">
        <v>27</v>
      </c>
    </row>
    <row r="57" spans="2:10" s="4" customFormat="1" ht="28.5" x14ac:dyDescent="0.25">
      <c r="B57" s="43" t="s">
        <v>128</v>
      </c>
      <c r="C57" s="17" t="s">
        <v>81</v>
      </c>
      <c r="D57" s="20" t="s">
        <v>56</v>
      </c>
      <c r="E57" s="20" t="s">
        <v>50</v>
      </c>
      <c r="F57" s="20">
        <v>49</v>
      </c>
      <c r="G57" s="123"/>
      <c r="H57" s="20">
        <v>1</v>
      </c>
      <c r="I57" s="18">
        <f>H57*G57*F57</f>
        <v>0</v>
      </c>
      <c r="J57" s="23" t="s">
        <v>91</v>
      </c>
    </row>
    <row r="58" spans="2:10" s="4" customFormat="1" ht="28.5" x14ac:dyDescent="0.25">
      <c r="B58" s="43" t="s">
        <v>129</v>
      </c>
      <c r="C58" s="17" t="s">
        <v>82</v>
      </c>
      <c r="D58" s="20" t="s">
        <v>56</v>
      </c>
      <c r="E58" s="20" t="s">
        <v>50</v>
      </c>
      <c r="F58" s="20">
        <v>37</v>
      </c>
      <c r="G58" s="123"/>
      <c r="H58" s="20">
        <v>1</v>
      </c>
      <c r="I58" s="18">
        <f>H58*G58*F58</f>
        <v>0</v>
      </c>
      <c r="J58" s="23" t="s">
        <v>92</v>
      </c>
    </row>
    <row r="59" spans="2:10" s="4" customFormat="1" ht="28.5" x14ac:dyDescent="0.25">
      <c r="B59" s="43" t="s">
        <v>130</v>
      </c>
      <c r="C59" s="17" t="s">
        <v>67</v>
      </c>
      <c r="D59" s="20">
        <v>185804211</v>
      </c>
      <c r="E59" s="20" t="s">
        <v>50</v>
      </c>
      <c r="F59" s="20">
        <v>54</v>
      </c>
      <c r="G59" s="123"/>
      <c r="H59" s="20">
        <v>3</v>
      </c>
      <c r="I59" s="18">
        <f t="shared" ref="I59:I68" si="1">H59*G59*F59</f>
        <v>0</v>
      </c>
      <c r="J59" s="20" t="s">
        <v>93</v>
      </c>
    </row>
    <row r="60" spans="2:10" s="4" customFormat="1" ht="28.5" x14ac:dyDescent="0.25">
      <c r="B60" s="43" t="s">
        <v>131</v>
      </c>
      <c r="C60" s="17" t="s">
        <v>77</v>
      </c>
      <c r="D60" s="20">
        <v>185804214</v>
      </c>
      <c r="E60" s="20" t="s">
        <v>50</v>
      </c>
      <c r="F60" s="20">
        <v>86</v>
      </c>
      <c r="G60" s="123"/>
      <c r="H60" s="20">
        <v>0.5</v>
      </c>
      <c r="I60" s="18">
        <f t="shared" si="1"/>
        <v>0</v>
      </c>
      <c r="J60" s="20" t="s">
        <v>100</v>
      </c>
    </row>
    <row r="61" spans="2:10" s="32" customFormat="1" ht="28.5" x14ac:dyDescent="0.25">
      <c r="B61" s="43" t="s">
        <v>132</v>
      </c>
      <c r="C61" s="29" t="s">
        <v>75</v>
      </c>
      <c r="D61" s="30">
        <v>185802113</v>
      </c>
      <c r="E61" s="30" t="s">
        <v>37</v>
      </c>
      <c r="F61" s="30">
        <f>(140*20)/1000000</f>
        <v>2.8E-3</v>
      </c>
      <c r="G61" s="124"/>
      <c r="H61" s="30">
        <v>1</v>
      </c>
      <c r="I61" s="31">
        <f t="shared" si="1"/>
        <v>0</v>
      </c>
      <c r="J61" s="75" t="s">
        <v>473</v>
      </c>
    </row>
    <row r="62" spans="2:10" s="32" customFormat="1" x14ac:dyDescent="0.2">
      <c r="B62" s="43" t="s">
        <v>133</v>
      </c>
      <c r="C62" s="34" t="s">
        <v>83</v>
      </c>
      <c r="D62" s="35">
        <v>251911550</v>
      </c>
      <c r="E62" s="30" t="s">
        <v>57</v>
      </c>
      <c r="F62" s="30">
        <f>(140*20)/1000</f>
        <v>2.8</v>
      </c>
      <c r="G62" s="124"/>
      <c r="H62" s="30">
        <v>1</v>
      </c>
      <c r="I62" s="31">
        <f t="shared" ref="I62" si="2">H62*G62*F62</f>
        <v>0</v>
      </c>
      <c r="J62" s="33"/>
    </row>
    <row r="63" spans="2:10" s="4" customFormat="1" ht="30.75" x14ac:dyDescent="0.25">
      <c r="B63" s="43" t="s">
        <v>134</v>
      </c>
      <c r="C63" s="17" t="s">
        <v>96</v>
      </c>
      <c r="D63" s="20">
        <v>185804312</v>
      </c>
      <c r="E63" s="20" t="s">
        <v>95</v>
      </c>
      <c r="F63" s="20">
        <f>(140*10)/1000</f>
        <v>1.4</v>
      </c>
      <c r="G63" s="123"/>
      <c r="H63" s="20">
        <v>4</v>
      </c>
      <c r="I63" s="18">
        <f t="shared" si="1"/>
        <v>0</v>
      </c>
      <c r="J63" s="20" t="s">
        <v>97</v>
      </c>
    </row>
    <row r="64" spans="2:10" s="4" customFormat="1" ht="28.5" x14ac:dyDescent="0.25">
      <c r="B64" s="43" t="s">
        <v>135</v>
      </c>
      <c r="C64" s="17" t="s">
        <v>68</v>
      </c>
      <c r="D64" s="20">
        <v>185804252</v>
      </c>
      <c r="E64" s="20" t="s">
        <v>50</v>
      </c>
      <c r="F64" s="20">
        <v>54</v>
      </c>
      <c r="G64" s="123"/>
      <c r="H64" s="20">
        <v>1</v>
      </c>
      <c r="I64" s="18">
        <f t="shared" si="1"/>
        <v>0</v>
      </c>
      <c r="J64" s="20" t="s">
        <v>99</v>
      </c>
    </row>
    <row r="65" spans="2:10" s="4" customFormat="1" ht="42.75" x14ac:dyDescent="0.25">
      <c r="B65" s="43" t="s">
        <v>136</v>
      </c>
      <c r="C65" s="17" t="s">
        <v>66</v>
      </c>
      <c r="D65" s="20">
        <v>185803511</v>
      </c>
      <c r="E65" s="20" t="s">
        <v>50</v>
      </c>
      <c r="F65" s="20">
        <v>2.7</v>
      </c>
      <c r="G65" s="123"/>
      <c r="H65" s="20">
        <v>3</v>
      </c>
      <c r="I65" s="18">
        <f t="shared" si="1"/>
        <v>0</v>
      </c>
      <c r="J65" s="23" t="s">
        <v>98</v>
      </c>
    </row>
    <row r="66" spans="2:10" s="4" customFormat="1" ht="42.75" x14ac:dyDescent="0.25">
      <c r="B66" s="43" t="s">
        <v>137</v>
      </c>
      <c r="C66" s="17" t="s">
        <v>94</v>
      </c>
      <c r="D66" s="20">
        <v>183211412</v>
      </c>
      <c r="E66" s="20" t="s">
        <v>39</v>
      </c>
      <c r="F66" s="20">
        <v>10</v>
      </c>
      <c r="G66" s="123"/>
      <c r="H66" s="20">
        <v>1</v>
      </c>
      <c r="I66" s="18">
        <f t="shared" si="1"/>
        <v>0</v>
      </c>
      <c r="J66" s="77" t="s">
        <v>560</v>
      </c>
    </row>
    <row r="67" spans="2:10" s="4" customFormat="1" ht="28.5" x14ac:dyDescent="0.25">
      <c r="B67" s="43" t="s">
        <v>155</v>
      </c>
      <c r="C67" s="17" t="s">
        <v>156</v>
      </c>
      <c r="D67" s="20">
        <v>184911421</v>
      </c>
      <c r="E67" s="20" t="s">
        <v>50</v>
      </c>
      <c r="F67" s="20">
        <v>54</v>
      </c>
      <c r="G67" s="123"/>
      <c r="H67" s="20">
        <v>0.5</v>
      </c>
      <c r="I67" s="18">
        <f t="shared" si="1"/>
        <v>0</v>
      </c>
      <c r="J67" s="23" t="s">
        <v>158</v>
      </c>
    </row>
    <row r="68" spans="2:10" s="4" customFormat="1" ht="16.5" x14ac:dyDescent="0.25">
      <c r="B68" s="43" t="s">
        <v>157</v>
      </c>
      <c r="C68" s="17" t="s">
        <v>159</v>
      </c>
      <c r="D68" s="20">
        <v>103911000</v>
      </c>
      <c r="E68" s="20" t="s">
        <v>95</v>
      </c>
      <c r="F68" s="20">
        <f>F67*0.05</f>
        <v>2.7</v>
      </c>
      <c r="G68" s="123"/>
      <c r="H68" s="20">
        <v>0.5</v>
      </c>
      <c r="I68" s="18">
        <f t="shared" si="1"/>
        <v>0</v>
      </c>
      <c r="J68" s="23" t="s">
        <v>160</v>
      </c>
    </row>
    <row r="69" spans="2:10" s="3" customFormat="1" ht="15" customHeight="1" x14ac:dyDescent="0.25">
      <c r="B69" s="138" t="s">
        <v>33</v>
      </c>
      <c r="C69" s="139"/>
      <c r="D69" s="139"/>
      <c r="E69" s="139"/>
      <c r="F69" s="139"/>
      <c r="G69" s="139"/>
      <c r="H69" s="140"/>
      <c r="I69" s="19">
        <f>SUM(I57:I68)</f>
        <v>0</v>
      </c>
      <c r="J69" s="14"/>
    </row>
    <row r="71" spans="2:10" ht="15" x14ac:dyDescent="0.25">
      <c r="B71" s="11">
        <v>6</v>
      </c>
      <c r="C71" s="3" t="s">
        <v>41</v>
      </c>
      <c r="D71" s="11"/>
      <c r="E71" s="11"/>
      <c r="F71" s="11"/>
      <c r="G71" s="11"/>
    </row>
    <row r="72" spans="2:10" s="4" customFormat="1" ht="47.25" customHeight="1" x14ac:dyDescent="0.25">
      <c r="B72" s="7"/>
      <c r="C72" s="141" t="s">
        <v>561</v>
      </c>
      <c r="D72" s="141"/>
      <c r="E72" s="141"/>
      <c r="F72" s="141"/>
      <c r="G72" s="141"/>
      <c r="H72" s="141"/>
      <c r="I72" s="141"/>
      <c r="J72" s="141"/>
    </row>
    <row r="73" spans="2:10" ht="42.75" x14ac:dyDescent="0.2">
      <c r="B73" s="8" t="s">
        <v>0</v>
      </c>
      <c r="C73" s="12" t="s">
        <v>24</v>
      </c>
      <c r="D73" s="22" t="s">
        <v>30</v>
      </c>
      <c r="E73" s="22" t="s">
        <v>48</v>
      </c>
      <c r="F73" s="22" t="s">
        <v>29</v>
      </c>
      <c r="G73" s="22" t="s">
        <v>26</v>
      </c>
      <c r="H73" s="22" t="s">
        <v>25</v>
      </c>
      <c r="I73" s="22" t="s">
        <v>31</v>
      </c>
      <c r="J73" s="22" t="s">
        <v>27</v>
      </c>
    </row>
    <row r="74" spans="2:10" s="4" customFormat="1" ht="42.75" x14ac:dyDescent="0.25">
      <c r="B74" s="43" t="s">
        <v>138</v>
      </c>
      <c r="C74" s="2" t="s">
        <v>85</v>
      </c>
      <c r="D74" s="20">
        <v>184806187</v>
      </c>
      <c r="E74" s="20" t="s">
        <v>39</v>
      </c>
      <c r="F74" s="20">
        <v>8</v>
      </c>
      <c r="G74" s="123"/>
      <c r="H74" s="20">
        <v>0.5</v>
      </c>
      <c r="I74" s="18">
        <f>F74*G74*H74</f>
        <v>0</v>
      </c>
      <c r="J74" s="77" t="s">
        <v>562</v>
      </c>
    </row>
    <row r="75" spans="2:10" s="4" customFormat="1" ht="42.75" x14ac:dyDescent="0.25">
      <c r="B75" s="43" t="s">
        <v>139</v>
      </c>
      <c r="C75" s="17" t="s">
        <v>76</v>
      </c>
      <c r="D75" s="20">
        <v>185802114</v>
      </c>
      <c r="E75" s="20" t="s">
        <v>37</v>
      </c>
      <c r="F75" s="20">
        <f>(10*4)/1000000</f>
        <v>4.0000000000000003E-5</v>
      </c>
      <c r="G75" s="123"/>
      <c r="H75" s="20">
        <v>1</v>
      </c>
      <c r="I75" s="18">
        <f>H75*G75*F75</f>
        <v>0</v>
      </c>
      <c r="J75" s="77" t="s">
        <v>563</v>
      </c>
    </row>
    <row r="76" spans="2:10" s="4" customFormat="1" x14ac:dyDescent="0.2">
      <c r="B76" s="43" t="s">
        <v>140</v>
      </c>
      <c r="C76" s="34" t="s">
        <v>83</v>
      </c>
      <c r="D76" s="37">
        <v>251911550</v>
      </c>
      <c r="E76" s="20" t="s">
        <v>57</v>
      </c>
      <c r="F76" s="20">
        <f>(4*10)/1000</f>
        <v>0.04</v>
      </c>
      <c r="G76" s="123"/>
      <c r="H76" s="20">
        <v>1</v>
      </c>
      <c r="I76" s="18">
        <f>H76*G76*F76</f>
        <v>0</v>
      </c>
      <c r="J76" s="23"/>
    </row>
    <row r="77" spans="2:10" s="3" customFormat="1" ht="15" customHeight="1" x14ac:dyDescent="0.25">
      <c r="B77" s="138" t="s">
        <v>33</v>
      </c>
      <c r="C77" s="139"/>
      <c r="D77" s="139"/>
      <c r="E77" s="139"/>
      <c r="F77" s="139"/>
      <c r="G77" s="139"/>
      <c r="H77" s="140"/>
      <c r="I77" s="19">
        <f>SUM(I74:I76)</f>
        <v>0</v>
      </c>
      <c r="J77" s="14"/>
    </row>
    <row r="79" spans="2:10" ht="15" x14ac:dyDescent="0.25">
      <c r="B79" s="11">
        <v>7</v>
      </c>
      <c r="C79" s="3" t="s">
        <v>35</v>
      </c>
      <c r="D79" s="11"/>
      <c r="E79" s="11"/>
      <c r="F79" s="11"/>
      <c r="G79" s="11"/>
    </row>
    <row r="80" spans="2:10" s="4" customFormat="1" ht="18.75" customHeight="1" x14ac:dyDescent="0.25">
      <c r="B80" s="7"/>
      <c r="C80" s="141" t="s">
        <v>102</v>
      </c>
      <c r="D80" s="141"/>
      <c r="E80" s="141"/>
      <c r="F80" s="141"/>
      <c r="G80" s="141"/>
      <c r="H80" s="141"/>
      <c r="I80" s="141"/>
      <c r="J80" s="141"/>
    </row>
    <row r="81" spans="2:11" ht="42.75" x14ac:dyDescent="0.2">
      <c r="B81" s="8" t="s">
        <v>0</v>
      </c>
      <c r="C81" s="12" t="s">
        <v>24</v>
      </c>
      <c r="D81" s="22" t="s">
        <v>30</v>
      </c>
      <c r="E81" s="22" t="s">
        <v>48</v>
      </c>
      <c r="F81" s="22" t="s">
        <v>29</v>
      </c>
      <c r="G81" s="22" t="s">
        <v>26</v>
      </c>
      <c r="H81" s="22" t="s">
        <v>25</v>
      </c>
      <c r="I81" s="22" t="s">
        <v>31</v>
      </c>
      <c r="J81" s="22" t="s">
        <v>27</v>
      </c>
    </row>
    <row r="82" spans="2:11" s="4" customFormat="1" ht="57" x14ac:dyDescent="0.25">
      <c r="B82" s="43" t="s">
        <v>141</v>
      </c>
      <c r="C82" s="17" t="s">
        <v>111</v>
      </c>
      <c r="D82" s="20">
        <v>111151221</v>
      </c>
      <c r="E82" s="20" t="s">
        <v>50</v>
      </c>
      <c r="F82" s="20">
        <v>1203</v>
      </c>
      <c r="G82" s="123"/>
      <c r="H82" s="20">
        <v>6</v>
      </c>
      <c r="I82" s="18">
        <f>F82*G82*H82</f>
        <v>0</v>
      </c>
      <c r="J82" s="77" t="s">
        <v>511</v>
      </c>
    </row>
    <row r="83" spans="2:11" s="81" customFormat="1" ht="45" x14ac:dyDescent="0.25">
      <c r="B83" s="55" t="s">
        <v>142</v>
      </c>
      <c r="C83" s="36" t="s">
        <v>110</v>
      </c>
      <c r="D83" s="76">
        <v>185811221</v>
      </c>
      <c r="E83" s="76" t="s">
        <v>50</v>
      </c>
      <c r="F83" s="76">
        <f>F82*0.3</f>
        <v>360.9</v>
      </c>
      <c r="G83" s="125"/>
      <c r="H83" s="76">
        <v>1</v>
      </c>
      <c r="I83" s="78">
        <f t="shared" ref="I83" si="3">F83*G83*H83</f>
        <v>0</v>
      </c>
      <c r="J83" s="6" t="s">
        <v>564</v>
      </c>
      <c r="K83" s="97"/>
    </row>
    <row r="84" spans="2:11" s="81" customFormat="1" ht="71.25" x14ac:dyDescent="0.25">
      <c r="B84" s="55" t="s">
        <v>143</v>
      </c>
      <c r="C84" s="36" t="s">
        <v>63</v>
      </c>
      <c r="D84" s="76">
        <v>183451421</v>
      </c>
      <c r="E84" s="76" t="s">
        <v>50</v>
      </c>
      <c r="F84" s="76">
        <v>1203</v>
      </c>
      <c r="G84" s="125"/>
      <c r="H84" s="76">
        <v>0.5</v>
      </c>
      <c r="I84" s="78">
        <f>F84*G84*H84</f>
        <v>0</v>
      </c>
      <c r="J84" s="6" t="s">
        <v>541</v>
      </c>
    </row>
    <row r="85" spans="2:11" s="81" customFormat="1" ht="71.25" x14ac:dyDescent="0.25">
      <c r="B85" s="55" t="s">
        <v>144</v>
      </c>
      <c r="C85" s="36" t="s">
        <v>108</v>
      </c>
      <c r="D85" s="76">
        <v>183451321</v>
      </c>
      <c r="E85" s="76" t="s">
        <v>50</v>
      </c>
      <c r="F85" s="76">
        <v>1203</v>
      </c>
      <c r="G85" s="125"/>
      <c r="H85" s="76">
        <v>0.5</v>
      </c>
      <c r="I85" s="78">
        <f>F85*G85*H85</f>
        <v>0</v>
      </c>
      <c r="J85" s="6" t="s">
        <v>541</v>
      </c>
    </row>
    <row r="86" spans="2:11" s="4" customFormat="1" ht="28.5" x14ac:dyDescent="0.25">
      <c r="B86" s="43" t="s">
        <v>145</v>
      </c>
      <c r="C86" s="29" t="s">
        <v>75</v>
      </c>
      <c r="D86" s="30">
        <v>185802113</v>
      </c>
      <c r="E86" s="30" t="s">
        <v>37</v>
      </c>
      <c r="F86" s="20">
        <f>(F82*20)/1000000</f>
        <v>2.4060000000000002E-2</v>
      </c>
      <c r="G86" s="123"/>
      <c r="H86" s="20">
        <v>1</v>
      </c>
      <c r="I86" s="18">
        <f>F86*G86*H86</f>
        <v>0</v>
      </c>
      <c r="J86" s="20" t="s">
        <v>103</v>
      </c>
      <c r="K86" s="40"/>
    </row>
    <row r="87" spans="2:11" s="4" customFormat="1" ht="18.75" customHeight="1" x14ac:dyDescent="0.2">
      <c r="B87" s="43" t="s">
        <v>146</v>
      </c>
      <c r="C87" s="2" t="s">
        <v>83</v>
      </c>
      <c r="D87" s="35">
        <v>251911550</v>
      </c>
      <c r="E87" s="20" t="s">
        <v>57</v>
      </c>
      <c r="F87" s="20">
        <f>(F82*20)/1000</f>
        <v>24.06</v>
      </c>
      <c r="G87" s="123"/>
      <c r="H87" s="20">
        <v>1</v>
      </c>
      <c r="I87" s="18">
        <f>F87*G87*H87</f>
        <v>0</v>
      </c>
      <c r="J87" s="20"/>
      <c r="K87" s="38"/>
    </row>
    <row r="88" spans="2:11" s="3" customFormat="1" ht="15" customHeight="1" x14ac:dyDescent="0.25">
      <c r="B88" s="138" t="s">
        <v>33</v>
      </c>
      <c r="C88" s="139"/>
      <c r="D88" s="139"/>
      <c r="E88" s="139"/>
      <c r="F88" s="139"/>
      <c r="G88" s="139"/>
      <c r="H88" s="140"/>
      <c r="I88" s="19">
        <f>SUM(I82:I87)</f>
        <v>0</v>
      </c>
      <c r="J88" s="14"/>
    </row>
    <row r="90" spans="2:11" s="59" customFormat="1" ht="15" x14ac:dyDescent="0.25">
      <c r="B90" s="56">
        <v>8</v>
      </c>
      <c r="C90" s="57" t="s">
        <v>36</v>
      </c>
      <c r="D90" s="56"/>
      <c r="E90" s="56"/>
      <c r="F90" s="56"/>
      <c r="G90" s="56"/>
      <c r="H90" s="58"/>
      <c r="I90" s="58"/>
      <c r="J90" s="58"/>
    </row>
    <row r="91" spans="2:11" s="81" customFormat="1" ht="52.5" customHeight="1" x14ac:dyDescent="0.25">
      <c r="B91" s="93"/>
      <c r="C91" s="142" t="s">
        <v>445</v>
      </c>
      <c r="D91" s="142"/>
      <c r="E91" s="142"/>
      <c r="F91" s="142"/>
      <c r="G91" s="142"/>
      <c r="H91" s="142"/>
      <c r="I91" s="142"/>
      <c r="J91" s="142"/>
    </row>
    <row r="92" spans="2:11" ht="42.75" x14ac:dyDescent="0.2">
      <c r="B92" s="8" t="s">
        <v>0</v>
      </c>
      <c r="C92" s="12" t="s">
        <v>24</v>
      </c>
      <c r="D92" s="72" t="s">
        <v>30</v>
      </c>
      <c r="E92" s="72" t="s">
        <v>48</v>
      </c>
      <c r="F92" s="72" t="s">
        <v>29</v>
      </c>
      <c r="G92" s="72" t="s">
        <v>26</v>
      </c>
      <c r="H92" s="72" t="s">
        <v>25</v>
      </c>
      <c r="I92" s="72" t="s">
        <v>31</v>
      </c>
      <c r="J92" s="72" t="s">
        <v>27</v>
      </c>
    </row>
    <row r="93" spans="2:11" s="4" customFormat="1" ht="28.5" x14ac:dyDescent="0.25">
      <c r="B93" s="43" t="s">
        <v>148</v>
      </c>
      <c r="C93" s="17" t="s">
        <v>296</v>
      </c>
      <c r="D93" s="70">
        <v>183403131</v>
      </c>
      <c r="E93" s="70" t="s">
        <v>32</v>
      </c>
      <c r="F93" s="70">
        <v>28</v>
      </c>
      <c r="G93" s="123"/>
      <c r="H93" s="70">
        <v>1</v>
      </c>
      <c r="I93" s="73">
        <f>H93*G93*F93</f>
        <v>0</v>
      </c>
      <c r="J93" s="6"/>
    </row>
    <row r="94" spans="2:11" s="4" customFormat="1" ht="28.5" x14ac:dyDescent="0.25">
      <c r="B94" s="43" t="s">
        <v>149</v>
      </c>
      <c r="C94" s="17" t="s">
        <v>297</v>
      </c>
      <c r="D94" s="70">
        <v>183403153</v>
      </c>
      <c r="E94" s="70" t="s">
        <v>32</v>
      </c>
      <c r="F94" s="70">
        <v>28</v>
      </c>
      <c r="G94" s="123"/>
      <c r="H94" s="70">
        <v>1</v>
      </c>
      <c r="I94" s="73">
        <f t="shared" ref="I94:I103" si="4">H94*G94*F94</f>
        <v>0</v>
      </c>
      <c r="J94" s="6"/>
    </row>
    <row r="95" spans="2:11" s="4" customFormat="1" ht="28.5" x14ac:dyDescent="0.25">
      <c r="B95" s="43" t="s">
        <v>190</v>
      </c>
      <c r="C95" s="29" t="s">
        <v>75</v>
      </c>
      <c r="D95" s="75">
        <v>185802113</v>
      </c>
      <c r="E95" s="75" t="s">
        <v>37</v>
      </c>
      <c r="F95" s="70">
        <f>(F93*20)/1000000</f>
        <v>5.5999999999999995E-4</v>
      </c>
      <c r="G95" s="123"/>
      <c r="H95" s="70">
        <v>2</v>
      </c>
      <c r="I95" s="73">
        <f>F95*G95*H95</f>
        <v>0</v>
      </c>
      <c r="J95" s="76"/>
      <c r="K95" s="40"/>
    </row>
    <row r="96" spans="2:11" s="4" customFormat="1" ht="18.75" customHeight="1" x14ac:dyDescent="0.25">
      <c r="B96" s="43" t="s">
        <v>229</v>
      </c>
      <c r="C96" s="17" t="s">
        <v>83</v>
      </c>
      <c r="D96" s="76">
        <v>251911550</v>
      </c>
      <c r="E96" s="70" t="s">
        <v>57</v>
      </c>
      <c r="F96" s="70">
        <f>(F93*20)/1000</f>
        <v>0.56000000000000005</v>
      </c>
      <c r="G96" s="123"/>
      <c r="H96" s="70">
        <v>2</v>
      </c>
      <c r="I96" s="73">
        <f>F96*G96*H96</f>
        <v>0</v>
      </c>
      <c r="J96" s="76"/>
      <c r="K96" s="80"/>
    </row>
    <row r="97" spans="2:10" s="4" customFormat="1" ht="28.5" x14ac:dyDescent="0.25">
      <c r="B97" s="43" t="s">
        <v>230</v>
      </c>
      <c r="C97" s="17" t="s">
        <v>298</v>
      </c>
      <c r="D97" s="70">
        <v>185802112</v>
      </c>
      <c r="E97" s="70" t="s">
        <v>37</v>
      </c>
      <c r="F97" s="70">
        <f>(F93*4)/1000</f>
        <v>0.112</v>
      </c>
      <c r="G97" s="123"/>
      <c r="H97" s="70">
        <v>0.5</v>
      </c>
      <c r="I97" s="73">
        <f t="shared" si="4"/>
        <v>0</v>
      </c>
      <c r="J97" s="6"/>
    </row>
    <row r="98" spans="2:10" s="4" customFormat="1" ht="36.75" customHeight="1" x14ac:dyDescent="0.25">
      <c r="B98" s="43" t="s">
        <v>231</v>
      </c>
      <c r="C98" s="2" t="s">
        <v>299</v>
      </c>
      <c r="D98" s="70">
        <v>103111000</v>
      </c>
      <c r="E98" s="70" t="s">
        <v>57</v>
      </c>
      <c r="F98" s="70">
        <f>(F93*4)/1000</f>
        <v>0.112</v>
      </c>
      <c r="G98" s="123"/>
      <c r="H98" s="70">
        <v>0.5</v>
      </c>
      <c r="I98" s="73">
        <f t="shared" si="4"/>
        <v>0</v>
      </c>
      <c r="J98" s="70"/>
    </row>
    <row r="99" spans="2:10" s="4" customFormat="1" ht="50.25" customHeight="1" x14ac:dyDescent="0.25">
      <c r="B99" s="43" t="s">
        <v>234</v>
      </c>
      <c r="C99" s="17" t="s">
        <v>300</v>
      </c>
      <c r="D99" s="70">
        <v>181411121</v>
      </c>
      <c r="E99" s="70" t="s">
        <v>50</v>
      </c>
      <c r="F99" s="70">
        <v>28</v>
      </c>
      <c r="G99" s="123"/>
      <c r="H99" s="70">
        <v>1</v>
      </c>
      <c r="I99" s="73">
        <f t="shared" si="4"/>
        <v>0</v>
      </c>
      <c r="J99" s="77" t="s">
        <v>565</v>
      </c>
    </row>
    <row r="100" spans="2:10" s="4" customFormat="1" ht="50.25" customHeight="1" x14ac:dyDescent="0.25">
      <c r="B100" s="43" t="s">
        <v>235</v>
      </c>
      <c r="C100" s="17" t="s">
        <v>301</v>
      </c>
      <c r="D100" s="70" t="s">
        <v>84</v>
      </c>
      <c r="E100" s="70" t="s">
        <v>57</v>
      </c>
      <c r="F100" s="70">
        <f>(F93*3)/1000</f>
        <v>8.4000000000000005E-2</v>
      </c>
      <c r="G100" s="123"/>
      <c r="H100" s="70">
        <v>1</v>
      </c>
      <c r="I100" s="73">
        <f t="shared" si="4"/>
        <v>0</v>
      </c>
      <c r="J100" s="70" t="s">
        <v>302</v>
      </c>
    </row>
    <row r="101" spans="2:10" s="4" customFormat="1" ht="30.75" x14ac:dyDescent="0.25">
      <c r="B101" s="43" t="s">
        <v>236</v>
      </c>
      <c r="C101" s="17" t="s">
        <v>96</v>
      </c>
      <c r="D101" s="70">
        <v>185804312</v>
      </c>
      <c r="E101" s="70" t="s">
        <v>95</v>
      </c>
      <c r="F101" s="70">
        <f>(F93*10)/1000</f>
        <v>0.28000000000000003</v>
      </c>
      <c r="G101" s="123"/>
      <c r="H101" s="70">
        <v>20</v>
      </c>
      <c r="I101" s="73">
        <f t="shared" si="4"/>
        <v>0</v>
      </c>
      <c r="J101" s="70" t="s">
        <v>97</v>
      </c>
    </row>
    <row r="102" spans="2:10" s="81" customFormat="1" ht="28.5" x14ac:dyDescent="0.25">
      <c r="B102" s="55" t="s">
        <v>312</v>
      </c>
      <c r="C102" s="36" t="s">
        <v>69</v>
      </c>
      <c r="D102" s="76">
        <v>185804511</v>
      </c>
      <c r="E102" s="76" t="s">
        <v>50</v>
      </c>
      <c r="F102" s="76">
        <v>28</v>
      </c>
      <c r="G102" s="125"/>
      <c r="H102" s="76">
        <v>3</v>
      </c>
      <c r="I102" s="118">
        <f t="shared" si="4"/>
        <v>0</v>
      </c>
      <c r="J102" s="76"/>
    </row>
    <row r="103" spans="2:10" s="4" customFormat="1" ht="28.5" x14ac:dyDescent="0.25">
      <c r="B103" s="43" t="s">
        <v>313</v>
      </c>
      <c r="C103" s="17" t="s">
        <v>68</v>
      </c>
      <c r="D103" s="70">
        <v>185804252</v>
      </c>
      <c r="E103" s="70" t="s">
        <v>50</v>
      </c>
      <c r="F103" s="70">
        <v>28</v>
      </c>
      <c r="G103" s="123"/>
      <c r="H103" s="70">
        <v>2</v>
      </c>
      <c r="I103" s="73">
        <f t="shared" si="4"/>
        <v>0</v>
      </c>
      <c r="J103" s="77"/>
    </row>
    <row r="104" spans="2:10" s="3" customFormat="1" ht="15" customHeight="1" x14ac:dyDescent="0.25">
      <c r="B104" s="138" t="s">
        <v>33</v>
      </c>
      <c r="C104" s="139"/>
      <c r="D104" s="139"/>
      <c r="E104" s="139"/>
      <c r="F104" s="139"/>
      <c r="G104" s="139"/>
      <c r="H104" s="140"/>
      <c r="I104" s="19">
        <f>SUM(I93:I103)</f>
        <v>0</v>
      </c>
      <c r="J104" s="14"/>
    </row>
    <row r="106" spans="2:10" ht="15" x14ac:dyDescent="0.25">
      <c r="B106" s="11">
        <v>9</v>
      </c>
      <c r="C106" s="3" t="s">
        <v>55</v>
      </c>
      <c r="D106" s="11"/>
      <c r="E106" s="11"/>
      <c r="F106" s="11"/>
      <c r="G106" s="11"/>
    </row>
    <row r="107" spans="2:10" s="4" customFormat="1" ht="22.5" customHeight="1" x14ac:dyDescent="0.25">
      <c r="B107" s="7"/>
      <c r="C107" s="141" t="s">
        <v>114</v>
      </c>
      <c r="D107" s="141"/>
      <c r="E107" s="141"/>
      <c r="F107" s="141"/>
      <c r="G107" s="141"/>
      <c r="H107" s="141"/>
      <c r="I107" s="141"/>
      <c r="J107" s="141"/>
    </row>
    <row r="108" spans="2:10" ht="42.75" x14ac:dyDescent="0.2">
      <c r="B108" s="8" t="s">
        <v>0</v>
      </c>
      <c r="C108" s="12" t="s">
        <v>24</v>
      </c>
      <c r="D108" s="22" t="s">
        <v>30</v>
      </c>
      <c r="E108" s="22" t="s">
        <v>48</v>
      </c>
      <c r="F108" s="22" t="s">
        <v>29</v>
      </c>
      <c r="G108" s="22" t="s">
        <v>26</v>
      </c>
      <c r="H108" s="22" t="s">
        <v>25</v>
      </c>
      <c r="I108" s="22" t="s">
        <v>31</v>
      </c>
      <c r="J108" s="22" t="s">
        <v>27</v>
      </c>
    </row>
    <row r="109" spans="2:10" s="4" customFormat="1" ht="28.5" x14ac:dyDescent="0.25">
      <c r="B109" s="43" t="s">
        <v>150</v>
      </c>
      <c r="C109" s="17" t="s">
        <v>105</v>
      </c>
      <c r="D109" s="20">
        <v>184802611</v>
      </c>
      <c r="E109" s="20" t="s">
        <v>32</v>
      </c>
      <c r="F109" s="20">
        <f>685*0.3</f>
        <v>205.5</v>
      </c>
      <c r="G109" s="123"/>
      <c r="H109" s="20">
        <v>3</v>
      </c>
      <c r="I109" s="18">
        <f>F109*G109*H109</f>
        <v>0</v>
      </c>
      <c r="J109" s="20" t="s">
        <v>112</v>
      </c>
    </row>
    <row r="110" spans="2:10" s="4" customFormat="1" ht="42.75" x14ac:dyDescent="0.25">
      <c r="B110" s="43" t="s">
        <v>151</v>
      </c>
      <c r="C110" s="17" t="s">
        <v>89</v>
      </c>
      <c r="D110" s="20">
        <v>185811111</v>
      </c>
      <c r="E110" s="20" t="s">
        <v>32</v>
      </c>
      <c r="F110" s="20">
        <v>685</v>
      </c>
      <c r="G110" s="123"/>
      <c r="H110" s="20">
        <v>2</v>
      </c>
      <c r="I110" s="18">
        <f>F110*G110*H110</f>
        <v>0</v>
      </c>
      <c r="J110" s="20" t="s">
        <v>90</v>
      </c>
    </row>
    <row r="111" spans="2:10" s="3" customFormat="1" ht="15" customHeight="1" x14ac:dyDescent="0.25">
      <c r="B111" s="138" t="s">
        <v>33</v>
      </c>
      <c r="C111" s="139"/>
      <c r="D111" s="139"/>
      <c r="E111" s="139"/>
      <c r="F111" s="139"/>
      <c r="G111" s="139"/>
      <c r="H111" s="140"/>
      <c r="I111" s="19">
        <f>SUM(I109:I110)</f>
        <v>0</v>
      </c>
      <c r="J111" s="14"/>
    </row>
    <row r="113" spans="2:10" ht="15" x14ac:dyDescent="0.25">
      <c r="B113" s="11">
        <v>10</v>
      </c>
      <c r="C113" s="3" t="s">
        <v>86</v>
      </c>
      <c r="D113" s="11"/>
      <c r="E113" s="11"/>
      <c r="F113" s="11"/>
      <c r="G113" s="11"/>
    </row>
    <row r="114" spans="2:10" s="4" customFormat="1" ht="18.75" customHeight="1" x14ac:dyDescent="0.25">
      <c r="B114" s="7"/>
      <c r="C114" s="141" t="s">
        <v>115</v>
      </c>
      <c r="D114" s="141"/>
      <c r="E114" s="141"/>
      <c r="F114" s="141"/>
      <c r="G114" s="141"/>
      <c r="H114" s="141"/>
      <c r="I114" s="141"/>
      <c r="J114" s="141"/>
    </row>
    <row r="115" spans="2:10" ht="42.75" x14ac:dyDescent="0.2">
      <c r="B115" s="8" t="s">
        <v>0</v>
      </c>
      <c r="C115" s="12" t="s">
        <v>24</v>
      </c>
      <c r="D115" s="22" t="s">
        <v>30</v>
      </c>
      <c r="E115" s="22" t="s">
        <v>48</v>
      </c>
      <c r="F115" s="22" t="s">
        <v>29</v>
      </c>
      <c r="G115" s="22" t="s">
        <v>26</v>
      </c>
      <c r="H115" s="22" t="s">
        <v>25</v>
      </c>
      <c r="I115" s="22" t="s">
        <v>31</v>
      </c>
      <c r="J115" s="22" t="s">
        <v>27</v>
      </c>
    </row>
    <row r="116" spans="2:10" s="4" customFormat="1" ht="18.75" customHeight="1" x14ac:dyDescent="0.25">
      <c r="B116" s="43" t="s">
        <v>225</v>
      </c>
      <c r="C116" s="2" t="s">
        <v>88</v>
      </c>
      <c r="D116" s="20" t="s">
        <v>84</v>
      </c>
      <c r="E116" s="20" t="s">
        <v>39</v>
      </c>
      <c r="F116" s="20">
        <v>15</v>
      </c>
      <c r="G116" s="123"/>
      <c r="H116" s="20">
        <v>28</v>
      </c>
      <c r="I116" s="18">
        <f>H116*G116*F116</f>
        <v>0</v>
      </c>
      <c r="J116" s="20" t="s">
        <v>117</v>
      </c>
    </row>
    <row r="117" spans="2:10" s="4" customFormat="1" ht="42.75" x14ac:dyDescent="0.25">
      <c r="B117" s="43" t="s">
        <v>226</v>
      </c>
      <c r="C117" s="17" t="s">
        <v>116</v>
      </c>
      <c r="D117" s="20" t="s">
        <v>56</v>
      </c>
      <c r="E117" s="20" t="s">
        <v>42</v>
      </c>
      <c r="F117" s="20">
        <v>0.3</v>
      </c>
      <c r="G117" s="123"/>
      <c r="H117" s="20">
        <v>24</v>
      </c>
      <c r="I117" s="18">
        <f>H117*G117*F117</f>
        <v>0</v>
      </c>
      <c r="J117" s="23" t="s">
        <v>113</v>
      </c>
    </row>
    <row r="118" spans="2:10" s="3" customFormat="1" ht="15" customHeight="1" x14ac:dyDescent="0.25">
      <c r="B118" s="138" t="s">
        <v>33</v>
      </c>
      <c r="C118" s="139"/>
      <c r="D118" s="139"/>
      <c r="E118" s="139"/>
      <c r="F118" s="139"/>
      <c r="G118" s="139"/>
      <c r="H118" s="140"/>
      <c r="I118" s="19">
        <f>SUM(I116:I117)</f>
        <v>0</v>
      </c>
      <c r="J118" s="14"/>
    </row>
  </sheetData>
  <sheetProtection algorithmName="SHA-512" hashValue="yLgrUqRIwDXOJ7i+R2sbO7KMig5tIk7BmDxOy7gQnJIjPk6Kqbq8Pc8TeCjY9de4VGd+boVZKGijuR/4m573dg==" saltValue="MJAso/+DdCa/s5r4QYohNA==" spinCount="100000" sheet="1" objects="1" scenarios="1"/>
  <mergeCells count="49">
    <mergeCell ref="D4:J4"/>
    <mergeCell ref="C25:J25"/>
    <mergeCell ref="C31:J31"/>
    <mergeCell ref="C37:J37"/>
    <mergeCell ref="C72:J72"/>
    <mergeCell ref="C11:D11"/>
    <mergeCell ref="C13:D13"/>
    <mergeCell ref="C14:D14"/>
    <mergeCell ref="C10:D10"/>
    <mergeCell ref="C9:D9"/>
    <mergeCell ref="B4:C4"/>
    <mergeCell ref="B34:H34"/>
    <mergeCell ref="B28:H28"/>
    <mergeCell ref="B44:H44"/>
    <mergeCell ref="G8:J8"/>
    <mergeCell ref="B5:J5"/>
    <mergeCell ref="C17:D17"/>
    <mergeCell ref="C18:D18"/>
    <mergeCell ref="C8:D8"/>
    <mergeCell ref="C15:D15"/>
    <mergeCell ref="C12:D12"/>
    <mergeCell ref="C16:D16"/>
    <mergeCell ref="G10:J10"/>
    <mergeCell ref="G9:J9"/>
    <mergeCell ref="G18:J18"/>
    <mergeCell ref="G17:J17"/>
    <mergeCell ref="G15:J15"/>
    <mergeCell ref="G12:J12"/>
    <mergeCell ref="G11:J11"/>
    <mergeCell ref="G13:J13"/>
    <mergeCell ref="G14:J14"/>
    <mergeCell ref="G16:J16"/>
    <mergeCell ref="B118:H118"/>
    <mergeCell ref="C47:J47"/>
    <mergeCell ref="B52:H52"/>
    <mergeCell ref="C80:J80"/>
    <mergeCell ref="C107:J107"/>
    <mergeCell ref="C114:J114"/>
    <mergeCell ref="B77:H77"/>
    <mergeCell ref="B69:H69"/>
    <mergeCell ref="B88:H88"/>
    <mergeCell ref="B111:H111"/>
    <mergeCell ref="C91:J91"/>
    <mergeCell ref="B104:H104"/>
    <mergeCell ref="B19:F19"/>
    <mergeCell ref="B20:F20"/>
    <mergeCell ref="G19:J19"/>
    <mergeCell ref="G20:J20"/>
    <mergeCell ref="C55:J5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50" orientation="portrait" r:id="rId1"/>
  <headerFooter>
    <oddHeader>&amp;CPLÁN ÚDRŽBY NA POZEMCÍCH SPRÁVY KRNAP VE VRCHLABÍ</oddHeader>
  </headerFooter>
  <rowBreaks count="1" manualBreakCount="1">
    <brk id="45" min="1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zoomScale="90" zoomScaleNormal="90" zoomScaleSheetLayoutView="80" workbookViewId="0">
      <pane ySplit="2" topLeftCell="A63" activePane="bottomLeft" state="frozen"/>
      <selection pane="bottomLeft" activeCell="A38" sqref="A38"/>
    </sheetView>
  </sheetViews>
  <sheetFormatPr defaultRowHeight="15" x14ac:dyDescent="0.25"/>
  <cols>
    <col min="1" max="1" width="6" customWidth="1"/>
    <col min="2" max="2" width="4.7109375" customWidth="1"/>
    <col min="3" max="3" width="8.28515625" customWidth="1"/>
    <col min="4" max="4" width="31.28515625" customWidth="1"/>
    <col min="5" max="5" width="26.140625" customWidth="1"/>
    <col min="8" max="8" width="0" hidden="1" customWidth="1"/>
    <col min="9" max="9" width="29.42578125" customWidth="1"/>
    <col min="11" max="11" width="64.140625" customWidth="1"/>
  </cols>
  <sheetData>
    <row r="1" spans="1:9" x14ac:dyDescent="0.25">
      <c r="A1" s="195" t="s">
        <v>0</v>
      </c>
      <c r="B1" s="195" t="s">
        <v>332</v>
      </c>
      <c r="C1" s="195" t="s">
        <v>333</v>
      </c>
      <c r="D1" s="194" t="s">
        <v>430</v>
      </c>
      <c r="E1" s="195" t="s">
        <v>334</v>
      </c>
      <c r="F1" s="87" t="s">
        <v>316</v>
      </c>
      <c r="G1" s="87" t="s">
        <v>317</v>
      </c>
      <c r="H1" s="195" t="s">
        <v>27</v>
      </c>
      <c r="I1" s="194" t="s">
        <v>460</v>
      </c>
    </row>
    <row r="2" spans="1:9" x14ac:dyDescent="0.25">
      <c r="A2" s="196"/>
      <c r="B2" s="196"/>
      <c r="C2" s="196"/>
      <c r="D2" s="194"/>
      <c r="E2" s="196"/>
      <c r="F2" s="88" t="s">
        <v>318</v>
      </c>
      <c r="G2" s="88" t="s">
        <v>331</v>
      </c>
      <c r="H2" s="196"/>
      <c r="I2" s="194"/>
    </row>
    <row r="3" spans="1:9" ht="18.75" x14ac:dyDescent="0.3">
      <c r="A3" s="192" t="s">
        <v>449</v>
      </c>
      <c r="B3" s="192"/>
      <c r="C3" s="192"/>
      <c r="D3" s="192"/>
      <c r="E3" s="192"/>
      <c r="F3" s="192"/>
      <c r="G3" s="192"/>
      <c r="H3" s="112"/>
      <c r="I3" s="112"/>
    </row>
    <row r="4" spans="1:9" ht="51" x14ac:dyDescent="0.25">
      <c r="A4" s="89" t="s">
        <v>420</v>
      </c>
      <c r="B4" s="83">
        <v>1</v>
      </c>
      <c r="C4" s="83">
        <v>54</v>
      </c>
      <c r="D4" s="90" t="s">
        <v>431</v>
      </c>
      <c r="E4" s="90" t="s">
        <v>12</v>
      </c>
      <c r="F4" s="84" t="s">
        <v>325</v>
      </c>
      <c r="G4" s="83">
        <v>82</v>
      </c>
      <c r="H4" s="83"/>
      <c r="I4" s="90" t="s">
        <v>585</v>
      </c>
    </row>
    <row r="5" spans="1:9" ht="63.75" x14ac:dyDescent="0.25">
      <c r="A5" s="89" t="s">
        <v>421</v>
      </c>
      <c r="B5" s="83">
        <v>1</v>
      </c>
      <c r="C5" s="83">
        <v>54</v>
      </c>
      <c r="D5" s="90" t="s">
        <v>431</v>
      </c>
      <c r="E5" s="90" t="s">
        <v>12</v>
      </c>
      <c r="F5" s="84" t="s">
        <v>325</v>
      </c>
      <c r="G5" s="83">
        <v>44</v>
      </c>
      <c r="H5" s="83"/>
      <c r="I5" s="90" t="s">
        <v>586</v>
      </c>
    </row>
    <row r="6" spans="1:9" x14ac:dyDescent="0.25">
      <c r="A6" s="89" t="s">
        <v>422</v>
      </c>
      <c r="B6" s="83">
        <v>1</v>
      </c>
      <c r="C6" s="83" t="s">
        <v>18</v>
      </c>
      <c r="D6" s="90" t="s">
        <v>432</v>
      </c>
      <c r="E6" s="90" t="s">
        <v>12</v>
      </c>
      <c r="F6" s="84" t="s">
        <v>360</v>
      </c>
      <c r="G6" s="83">
        <v>12</v>
      </c>
      <c r="H6" s="83"/>
      <c r="I6" s="90"/>
    </row>
    <row r="7" spans="1:9" x14ac:dyDescent="0.25">
      <c r="A7" s="89" t="s">
        <v>423</v>
      </c>
      <c r="B7" s="83">
        <v>2</v>
      </c>
      <c r="C7" s="83" t="s">
        <v>18</v>
      </c>
      <c r="D7" s="90" t="s">
        <v>432</v>
      </c>
      <c r="E7" s="90" t="s">
        <v>12</v>
      </c>
      <c r="F7" s="84" t="s">
        <v>341</v>
      </c>
      <c r="G7" s="83">
        <v>35</v>
      </c>
      <c r="H7" s="83"/>
      <c r="I7" s="90"/>
    </row>
    <row r="8" spans="1:9" ht="51" x14ac:dyDescent="0.25">
      <c r="A8" s="89" t="s">
        <v>424</v>
      </c>
      <c r="B8" s="83">
        <v>2</v>
      </c>
      <c r="C8" s="83" t="s">
        <v>18</v>
      </c>
      <c r="D8" s="90" t="s">
        <v>431</v>
      </c>
      <c r="E8" s="90" t="s">
        <v>12</v>
      </c>
      <c r="F8" s="84" t="s">
        <v>325</v>
      </c>
      <c r="G8" s="83">
        <v>29</v>
      </c>
      <c r="H8" s="83"/>
      <c r="I8" s="90" t="s">
        <v>585</v>
      </c>
    </row>
    <row r="9" spans="1:9" x14ac:dyDescent="0.25">
      <c r="A9" s="89" t="s">
        <v>425</v>
      </c>
      <c r="B9" s="83">
        <v>2</v>
      </c>
      <c r="C9" s="83" t="s">
        <v>18</v>
      </c>
      <c r="D9" s="91" t="s">
        <v>433</v>
      </c>
      <c r="E9" s="90" t="s">
        <v>12</v>
      </c>
      <c r="F9" s="86" t="s">
        <v>434</v>
      </c>
      <c r="G9" s="83">
        <v>14</v>
      </c>
      <c r="H9" s="91"/>
      <c r="I9" s="91"/>
    </row>
    <row r="10" spans="1:9" x14ac:dyDescent="0.25">
      <c r="A10" s="89" t="s">
        <v>426</v>
      </c>
      <c r="B10" s="83">
        <v>2</v>
      </c>
      <c r="C10" s="83">
        <v>54</v>
      </c>
      <c r="D10" s="91" t="s">
        <v>431</v>
      </c>
      <c r="E10" s="90" t="s">
        <v>12</v>
      </c>
      <c r="F10" s="86" t="s">
        <v>325</v>
      </c>
      <c r="G10" s="85">
        <v>109</v>
      </c>
      <c r="H10" s="85"/>
      <c r="I10" s="91"/>
    </row>
    <row r="11" spans="1:9" x14ac:dyDescent="0.25">
      <c r="A11" s="89" t="s">
        <v>427</v>
      </c>
      <c r="B11" s="83">
        <v>2</v>
      </c>
      <c r="C11" s="83">
        <v>54</v>
      </c>
      <c r="D11" s="91" t="s">
        <v>435</v>
      </c>
      <c r="E11" s="90" t="s">
        <v>11</v>
      </c>
      <c r="F11" s="86" t="s">
        <v>325</v>
      </c>
      <c r="G11" s="85">
        <v>35</v>
      </c>
      <c r="H11" s="85"/>
      <c r="I11" s="85"/>
    </row>
    <row r="12" spans="1:9" x14ac:dyDescent="0.25">
      <c r="A12" s="89" t="s">
        <v>428</v>
      </c>
      <c r="B12" s="83">
        <v>2</v>
      </c>
      <c r="C12" s="83">
        <v>54</v>
      </c>
      <c r="D12" s="85" t="s">
        <v>436</v>
      </c>
      <c r="E12" s="90" t="s">
        <v>11</v>
      </c>
      <c r="F12" s="86" t="s">
        <v>437</v>
      </c>
      <c r="G12" s="85">
        <v>11</v>
      </c>
      <c r="H12" s="85"/>
      <c r="I12" s="85"/>
    </row>
    <row r="13" spans="1:9" x14ac:dyDescent="0.25">
      <c r="A13" s="89" t="s">
        <v>429</v>
      </c>
      <c r="B13" s="83">
        <v>2</v>
      </c>
      <c r="C13" s="83">
        <v>54</v>
      </c>
      <c r="D13" s="85" t="s">
        <v>438</v>
      </c>
      <c r="E13" s="90" t="s">
        <v>11</v>
      </c>
      <c r="F13" s="86" t="s">
        <v>407</v>
      </c>
      <c r="G13" s="85">
        <v>2</v>
      </c>
      <c r="H13" s="85"/>
      <c r="I13" s="85"/>
    </row>
    <row r="15" spans="1:9" ht="18.75" x14ac:dyDescent="0.3">
      <c r="A15" s="193" t="s">
        <v>447</v>
      </c>
      <c r="B15" s="193"/>
      <c r="C15" s="193"/>
      <c r="D15" s="193"/>
      <c r="E15" s="193"/>
      <c r="F15" s="193"/>
      <c r="G15" s="193"/>
      <c r="H15" s="113"/>
      <c r="I15" s="113"/>
    </row>
    <row r="16" spans="1:9" ht="51" x14ac:dyDescent="0.25">
      <c r="A16" s="89" t="s">
        <v>319</v>
      </c>
      <c r="B16" s="83">
        <v>1</v>
      </c>
      <c r="C16" s="83" t="s">
        <v>18</v>
      </c>
      <c r="D16" s="90" t="s">
        <v>336</v>
      </c>
      <c r="E16" s="90" t="s">
        <v>295</v>
      </c>
      <c r="F16" s="84" t="s">
        <v>335</v>
      </c>
      <c r="G16" s="83">
        <v>526</v>
      </c>
      <c r="H16" s="83"/>
      <c r="I16" s="90"/>
    </row>
    <row r="17" spans="1:11" ht="25.5" x14ac:dyDescent="0.25">
      <c r="A17" s="89" t="s">
        <v>320</v>
      </c>
      <c r="B17" s="83">
        <v>1</v>
      </c>
      <c r="C17" s="83" t="s">
        <v>18</v>
      </c>
      <c r="D17" s="90" t="s">
        <v>338</v>
      </c>
      <c r="E17" s="90" t="s">
        <v>2</v>
      </c>
      <c r="F17" s="84" t="s">
        <v>339</v>
      </c>
      <c r="G17" s="83">
        <v>186</v>
      </c>
      <c r="H17" s="83"/>
      <c r="I17" s="90"/>
    </row>
    <row r="18" spans="1:11" ht="25.5" x14ac:dyDescent="0.25">
      <c r="A18" s="89" t="s">
        <v>321</v>
      </c>
      <c r="B18" s="83">
        <v>1</v>
      </c>
      <c r="C18" s="83" t="s">
        <v>18</v>
      </c>
      <c r="D18" s="90" t="s">
        <v>337</v>
      </c>
      <c r="E18" s="90" t="s">
        <v>2</v>
      </c>
      <c r="F18" s="84" t="s">
        <v>339</v>
      </c>
      <c r="G18" s="83">
        <v>248</v>
      </c>
      <c r="H18" s="83"/>
      <c r="I18" s="90"/>
    </row>
    <row r="19" spans="1:11" ht="25.5" x14ac:dyDescent="0.25">
      <c r="A19" s="89" t="s">
        <v>322</v>
      </c>
      <c r="B19" s="83">
        <v>1</v>
      </c>
      <c r="C19" s="83" t="s">
        <v>18</v>
      </c>
      <c r="D19" s="90" t="s">
        <v>470</v>
      </c>
      <c r="E19" s="90" t="s">
        <v>295</v>
      </c>
      <c r="F19" s="84" t="s">
        <v>325</v>
      </c>
      <c r="G19" s="83">
        <v>214</v>
      </c>
      <c r="H19" s="83"/>
      <c r="I19" s="90" t="s">
        <v>471</v>
      </c>
    </row>
    <row r="20" spans="1:11" ht="63.75" x14ac:dyDescent="0.25">
      <c r="A20" s="89" t="s">
        <v>324</v>
      </c>
      <c r="B20" s="83">
        <v>1</v>
      </c>
      <c r="C20" s="83">
        <v>54</v>
      </c>
      <c r="D20" s="90" t="s">
        <v>340</v>
      </c>
      <c r="E20" s="90" t="s">
        <v>3</v>
      </c>
      <c r="F20" s="84" t="s">
        <v>341</v>
      </c>
      <c r="G20" s="83">
        <v>64</v>
      </c>
      <c r="H20" s="83"/>
      <c r="I20" s="90" t="s">
        <v>587</v>
      </c>
    </row>
    <row r="21" spans="1:11" ht="81" customHeight="1" x14ac:dyDescent="0.25">
      <c r="A21" s="89" t="s">
        <v>326</v>
      </c>
      <c r="B21" s="83">
        <v>1</v>
      </c>
      <c r="C21" s="83" t="s">
        <v>357</v>
      </c>
      <c r="D21" s="91" t="s">
        <v>459</v>
      </c>
      <c r="E21" s="90" t="s">
        <v>3</v>
      </c>
      <c r="F21" s="84">
        <v>3</v>
      </c>
      <c r="G21" s="83">
        <v>1388</v>
      </c>
      <c r="H21" s="90" t="s">
        <v>356</v>
      </c>
      <c r="I21" s="90" t="s">
        <v>462</v>
      </c>
      <c r="K21" s="95" t="s">
        <v>461</v>
      </c>
    </row>
    <row r="22" spans="1:11" ht="25.5" x14ac:dyDescent="0.25">
      <c r="A22" s="89" t="s">
        <v>328</v>
      </c>
      <c r="B22" s="83">
        <v>1</v>
      </c>
      <c r="C22" s="83" t="s">
        <v>357</v>
      </c>
      <c r="D22" s="91" t="s">
        <v>358</v>
      </c>
      <c r="E22" s="90" t="s">
        <v>4</v>
      </c>
      <c r="F22" s="84">
        <v>2</v>
      </c>
      <c r="G22" s="83">
        <v>85</v>
      </c>
      <c r="H22" s="83"/>
      <c r="I22" s="90"/>
    </row>
    <row r="23" spans="1:11" ht="25.5" x14ac:dyDescent="0.25">
      <c r="A23" s="89" t="s">
        <v>329</v>
      </c>
      <c r="B23" s="83">
        <v>1</v>
      </c>
      <c r="C23" s="83">
        <v>54</v>
      </c>
      <c r="D23" s="91" t="s">
        <v>359</v>
      </c>
      <c r="E23" s="90" t="s">
        <v>3</v>
      </c>
      <c r="F23" s="84" t="s">
        <v>360</v>
      </c>
      <c r="G23" s="83">
        <v>256</v>
      </c>
      <c r="H23" s="83"/>
      <c r="I23" s="83"/>
    </row>
    <row r="24" spans="1:11" ht="25.5" x14ac:dyDescent="0.25">
      <c r="A24" s="89" t="s">
        <v>330</v>
      </c>
      <c r="B24" s="83">
        <v>1</v>
      </c>
      <c r="C24" s="83">
        <v>54</v>
      </c>
      <c r="D24" s="85" t="s">
        <v>388</v>
      </c>
      <c r="E24" s="90" t="s">
        <v>2</v>
      </c>
      <c r="F24" s="84" t="s">
        <v>389</v>
      </c>
      <c r="G24" s="83">
        <v>32</v>
      </c>
      <c r="H24" s="83"/>
      <c r="I24" s="83"/>
    </row>
    <row r="25" spans="1:11" ht="25.5" x14ac:dyDescent="0.25">
      <c r="A25" s="89" t="s">
        <v>361</v>
      </c>
      <c r="B25" s="83">
        <v>1</v>
      </c>
      <c r="C25" s="83">
        <v>54</v>
      </c>
      <c r="D25" s="85" t="s">
        <v>388</v>
      </c>
      <c r="E25" s="90" t="s">
        <v>2</v>
      </c>
      <c r="F25" s="84" t="s">
        <v>341</v>
      </c>
      <c r="G25" s="83">
        <v>64</v>
      </c>
      <c r="H25" s="83"/>
      <c r="I25" s="83"/>
    </row>
    <row r="26" spans="1:11" ht="25.5" x14ac:dyDescent="0.25">
      <c r="A26" s="89" t="s">
        <v>362</v>
      </c>
      <c r="B26" s="83">
        <v>1</v>
      </c>
      <c r="C26" s="83">
        <v>54</v>
      </c>
      <c r="D26" s="91" t="s">
        <v>455</v>
      </c>
      <c r="E26" s="90" t="s">
        <v>6</v>
      </c>
      <c r="F26" s="84" t="s">
        <v>390</v>
      </c>
      <c r="G26" s="83">
        <v>146</v>
      </c>
      <c r="H26" s="83"/>
      <c r="I26" s="83"/>
    </row>
    <row r="27" spans="1:11" ht="25.5" x14ac:dyDescent="0.25">
      <c r="A27" s="89" t="s">
        <v>363</v>
      </c>
      <c r="B27" s="83">
        <v>1</v>
      </c>
      <c r="C27" s="83">
        <v>54</v>
      </c>
      <c r="D27" s="91" t="s">
        <v>391</v>
      </c>
      <c r="E27" s="90" t="s">
        <v>3</v>
      </c>
      <c r="F27" s="84" t="s">
        <v>392</v>
      </c>
      <c r="G27" s="83">
        <v>58</v>
      </c>
      <c r="H27" s="83"/>
      <c r="I27" s="83"/>
    </row>
    <row r="28" spans="1:11" ht="25.5" x14ac:dyDescent="0.25">
      <c r="A28" s="89" t="s">
        <v>364</v>
      </c>
      <c r="B28" s="83">
        <v>1</v>
      </c>
      <c r="C28" s="83">
        <v>54</v>
      </c>
      <c r="D28" s="91" t="s">
        <v>393</v>
      </c>
      <c r="E28" s="90" t="s">
        <v>3</v>
      </c>
      <c r="F28" s="84" t="s">
        <v>323</v>
      </c>
      <c r="G28" s="83">
        <v>581</v>
      </c>
      <c r="H28" s="83"/>
      <c r="I28" s="83"/>
    </row>
    <row r="29" spans="1:11" ht="25.5" x14ac:dyDescent="0.25">
      <c r="A29" s="89" t="s">
        <v>365</v>
      </c>
      <c r="B29" s="83">
        <v>1</v>
      </c>
      <c r="C29" s="83">
        <v>54</v>
      </c>
      <c r="D29" s="91" t="s">
        <v>394</v>
      </c>
      <c r="E29" s="90" t="s">
        <v>3</v>
      </c>
      <c r="F29" s="84" t="s">
        <v>390</v>
      </c>
      <c r="G29" s="83">
        <v>211</v>
      </c>
      <c r="H29" s="83"/>
      <c r="I29" s="83"/>
    </row>
    <row r="30" spans="1:11" ht="63.75" x14ac:dyDescent="0.25">
      <c r="A30" s="89" t="s">
        <v>366</v>
      </c>
      <c r="B30" s="83">
        <v>1</v>
      </c>
      <c r="C30" s="83" t="s">
        <v>18</v>
      </c>
      <c r="D30" s="91" t="s">
        <v>397</v>
      </c>
      <c r="E30" s="90" t="s">
        <v>295</v>
      </c>
      <c r="F30" s="84" t="s">
        <v>395</v>
      </c>
      <c r="G30" s="83">
        <v>1668</v>
      </c>
      <c r="H30" s="83"/>
      <c r="I30" s="90" t="s">
        <v>472</v>
      </c>
    </row>
    <row r="31" spans="1:11" ht="25.5" x14ac:dyDescent="0.25">
      <c r="A31" s="89" t="s">
        <v>367</v>
      </c>
      <c r="B31" s="83">
        <v>1</v>
      </c>
      <c r="C31" s="83" t="s">
        <v>18</v>
      </c>
      <c r="D31" s="91" t="s">
        <v>396</v>
      </c>
      <c r="E31" s="90" t="s">
        <v>295</v>
      </c>
      <c r="F31" s="84" t="s">
        <v>341</v>
      </c>
      <c r="G31" s="83">
        <v>38</v>
      </c>
      <c r="H31" s="83"/>
      <c r="I31" s="90" t="s">
        <v>471</v>
      </c>
    </row>
    <row r="32" spans="1:11" ht="25.5" x14ac:dyDescent="0.25">
      <c r="A32" s="89" t="s">
        <v>368</v>
      </c>
      <c r="B32" s="83">
        <v>1</v>
      </c>
      <c r="C32" s="83" t="s">
        <v>18</v>
      </c>
      <c r="D32" s="91" t="s">
        <v>398</v>
      </c>
      <c r="E32" s="90" t="s">
        <v>3</v>
      </c>
      <c r="F32" s="84" t="s">
        <v>325</v>
      </c>
      <c r="G32" s="83">
        <v>298</v>
      </c>
      <c r="H32" s="83"/>
      <c r="I32" s="83"/>
    </row>
    <row r="33" spans="1:9" ht="63.75" x14ac:dyDescent="0.25">
      <c r="A33" s="89" t="s">
        <v>369</v>
      </c>
      <c r="B33" s="83">
        <v>1</v>
      </c>
      <c r="C33" s="90" t="s">
        <v>399</v>
      </c>
      <c r="D33" s="91" t="s">
        <v>588</v>
      </c>
      <c r="E33" s="90" t="s">
        <v>295</v>
      </c>
      <c r="F33" s="84" t="s">
        <v>341</v>
      </c>
      <c r="G33" s="83">
        <v>477</v>
      </c>
      <c r="H33" s="83"/>
      <c r="I33" s="90" t="s">
        <v>472</v>
      </c>
    </row>
    <row r="34" spans="1:9" ht="63.75" x14ac:dyDescent="0.25">
      <c r="A34" s="89" t="s">
        <v>370</v>
      </c>
      <c r="B34" s="83">
        <v>1</v>
      </c>
      <c r="C34" s="90" t="s">
        <v>400</v>
      </c>
      <c r="D34" s="91" t="s">
        <v>589</v>
      </c>
      <c r="E34" s="90" t="s">
        <v>295</v>
      </c>
      <c r="F34" s="84" t="s">
        <v>325</v>
      </c>
      <c r="G34" s="83">
        <v>393</v>
      </c>
      <c r="H34" s="83"/>
      <c r="I34" s="90" t="s">
        <v>472</v>
      </c>
    </row>
    <row r="35" spans="1:9" ht="25.5" x14ac:dyDescent="0.25">
      <c r="A35" s="89" t="s">
        <v>371</v>
      </c>
      <c r="B35" s="83">
        <v>2</v>
      </c>
      <c r="C35" s="83" t="s">
        <v>18</v>
      </c>
      <c r="D35" s="91" t="s">
        <v>401</v>
      </c>
      <c r="E35" s="90" t="s">
        <v>1</v>
      </c>
      <c r="F35" s="84" t="s">
        <v>325</v>
      </c>
      <c r="G35" s="83">
        <v>116</v>
      </c>
      <c r="H35" s="83"/>
      <c r="I35" s="83"/>
    </row>
    <row r="36" spans="1:9" ht="38.25" x14ac:dyDescent="0.25">
      <c r="A36" s="89" t="s">
        <v>372</v>
      </c>
      <c r="B36" s="83">
        <v>2</v>
      </c>
      <c r="C36" s="83" t="s">
        <v>18</v>
      </c>
      <c r="D36" s="91" t="s">
        <v>404</v>
      </c>
      <c r="E36" s="91" t="s">
        <v>1</v>
      </c>
      <c r="F36" s="86" t="s">
        <v>325</v>
      </c>
      <c r="G36" s="85">
        <v>32</v>
      </c>
      <c r="H36" s="85"/>
      <c r="I36" s="85"/>
    </row>
    <row r="37" spans="1:9" ht="25.5" x14ac:dyDescent="0.25">
      <c r="A37" s="89" t="s">
        <v>373</v>
      </c>
      <c r="B37" s="83">
        <v>2</v>
      </c>
      <c r="C37" s="83" t="s">
        <v>402</v>
      </c>
      <c r="D37" s="91" t="s">
        <v>403</v>
      </c>
      <c r="E37" s="91" t="s">
        <v>4</v>
      </c>
      <c r="F37" s="86" t="s">
        <v>325</v>
      </c>
      <c r="G37" s="85">
        <v>150</v>
      </c>
      <c r="H37" s="85"/>
      <c r="I37" s="85"/>
    </row>
    <row r="38" spans="1:9" ht="25.5" x14ac:dyDescent="0.25">
      <c r="A38" s="89" t="s">
        <v>374</v>
      </c>
      <c r="B38" s="83">
        <v>2</v>
      </c>
      <c r="C38" s="83">
        <v>54</v>
      </c>
      <c r="D38" s="91" t="s">
        <v>405</v>
      </c>
      <c r="E38" s="91" t="s">
        <v>5</v>
      </c>
      <c r="F38" s="86" t="s">
        <v>360</v>
      </c>
      <c r="G38" s="85">
        <v>18</v>
      </c>
      <c r="H38" s="85"/>
      <c r="I38" s="85"/>
    </row>
    <row r="39" spans="1:9" ht="25.5" x14ac:dyDescent="0.25">
      <c r="A39" s="89" t="s">
        <v>375</v>
      </c>
      <c r="B39" s="83">
        <v>2</v>
      </c>
      <c r="C39" s="83">
        <v>54</v>
      </c>
      <c r="D39" s="91" t="s">
        <v>408</v>
      </c>
      <c r="E39" s="91" t="s">
        <v>1</v>
      </c>
      <c r="F39" s="86" t="s">
        <v>407</v>
      </c>
      <c r="G39" s="85">
        <v>7</v>
      </c>
      <c r="H39" s="85"/>
      <c r="I39" s="85"/>
    </row>
    <row r="40" spans="1:9" ht="25.5" x14ac:dyDescent="0.25">
      <c r="A40" s="89" t="s">
        <v>376</v>
      </c>
      <c r="B40" s="83">
        <v>2</v>
      </c>
      <c r="C40" s="83">
        <v>54</v>
      </c>
      <c r="D40" s="91" t="s">
        <v>406</v>
      </c>
      <c r="E40" s="91" t="s">
        <v>1</v>
      </c>
      <c r="F40" s="86" t="s">
        <v>407</v>
      </c>
      <c r="G40" s="85">
        <v>8.5</v>
      </c>
      <c r="H40" s="85"/>
      <c r="I40" s="85"/>
    </row>
    <row r="41" spans="1:9" ht="25.5" x14ac:dyDescent="0.25">
      <c r="A41" s="89" t="s">
        <v>377</v>
      </c>
      <c r="B41" s="83">
        <v>2</v>
      </c>
      <c r="C41" s="83">
        <v>54</v>
      </c>
      <c r="D41" s="91" t="s">
        <v>446</v>
      </c>
      <c r="E41" s="91" t="s">
        <v>590</v>
      </c>
      <c r="F41" s="86" t="s">
        <v>341</v>
      </c>
      <c r="G41" s="85">
        <v>10</v>
      </c>
      <c r="H41" s="85"/>
      <c r="I41" s="85"/>
    </row>
    <row r="42" spans="1:9" ht="25.5" x14ac:dyDescent="0.25">
      <c r="A42" s="89" t="s">
        <v>378</v>
      </c>
      <c r="B42" s="83">
        <v>3</v>
      </c>
      <c r="C42" s="83">
        <v>67</v>
      </c>
      <c r="D42" s="91" t="s">
        <v>409</v>
      </c>
      <c r="E42" s="91" t="s">
        <v>208</v>
      </c>
      <c r="F42" s="86" t="s">
        <v>325</v>
      </c>
      <c r="G42" s="85">
        <v>6</v>
      </c>
      <c r="H42" s="85"/>
      <c r="I42" s="85"/>
    </row>
    <row r="43" spans="1:9" ht="25.5" x14ac:dyDescent="0.25">
      <c r="A43" s="89" t="s">
        <v>379</v>
      </c>
      <c r="B43" s="83">
        <v>4</v>
      </c>
      <c r="C43" s="83" t="s">
        <v>20</v>
      </c>
      <c r="D43" s="91" t="s">
        <v>410</v>
      </c>
      <c r="E43" s="91" t="s">
        <v>207</v>
      </c>
      <c r="F43" s="86" t="s">
        <v>407</v>
      </c>
      <c r="G43" s="85">
        <v>9</v>
      </c>
      <c r="H43" s="85"/>
      <c r="I43" s="85"/>
    </row>
    <row r="44" spans="1:9" ht="25.5" x14ac:dyDescent="0.25">
      <c r="A44" s="89" t="s">
        <v>380</v>
      </c>
      <c r="B44" s="83">
        <v>4</v>
      </c>
      <c r="C44" s="83" t="s">
        <v>20</v>
      </c>
      <c r="D44" s="91" t="s">
        <v>412</v>
      </c>
      <c r="E44" s="91" t="s">
        <v>4</v>
      </c>
      <c r="F44" s="86" t="s">
        <v>411</v>
      </c>
      <c r="G44" s="85">
        <v>7.5</v>
      </c>
      <c r="H44" s="85"/>
      <c r="I44" s="85"/>
    </row>
    <row r="45" spans="1:9" ht="25.5" x14ac:dyDescent="0.25">
      <c r="A45" s="89" t="s">
        <v>381</v>
      </c>
      <c r="B45" s="83">
        <v>4</v>
      </c>
      <c r="C45" s="83" t="s">
        <v>20</v>
      </c>
      <c r="D45" s="91" t="s">
        <v>413</v>
      </c>
      <c r="E45" s="91" t="s">
        <v>7</v>
      </c>
      <c r="F45" s="86" t="s">
        <v>414</v>
      </c>
      <c r="G45" s="85">
        <v>30</v>
      </c>
      <c r="H45" s="85"/>
      <c r="I45" s="85"/>
    </row>
    <row r="46" spans="1:9" ht="25.5" x14ac:dyDescent="0.25">
      <c r="A46" s="89" t="s">
        <v>382</v>
      </c>
      <c r="B46" s="83">
        <v>4</v>
      </c>
      <c r="C46" s="83" t="s">
        <v>20</v>
      </c>
      <c r="D46" s="91" t="s">
        <v>413</v>
      </c>
      <c r="E46" s="91" t="s">
        <v>7</v>
      </c>
      <c r="F46" s="86" t="s">
        <v>414</v>
      </c>
      <c r="G46" s="85">
        <v>8</v>
      </c>
      <c r="H46" s="85"/>
      <c r="I46" s="85"/>
    </row>
    <row r="47" spans="1:9" ht="25.5" x14ac:dyDescent="0.25">
      <c r="A47" s="89" t="s">
        <v>383</v>
      </c>
      <c r="B47" s="83">
        <v>5</v>
      </c>
      <c r="C47" s="83" t="s">
        <v>23</v>
      </c>
      <c r="D47" s="91" t="s">
        <v>415</v>
      </c>
      <c r="E47" s="91" t="s">
        <v>3</v>
      </c>
      <c r="F47" s="86" t="s">
        <v>341</v>
      </c>
      <c r="G47" s="85">
        <v>35</v>
      </c>
      <c r="H47" s="85"/>
      <c r="I47" s="85"/>
    </row>
    <row r="48" spans="1:9" ht="38.25" x14ac:dyDescent="0.25">
      <c r="A48" s="89" t="s">
        <v>384</v>
      </c>
      <c r="B48" s="83">
        <v>5</v>
      </c>
      <c r="C48" s="90" t="s">
        <v>416</v>
      </c>
      <c r="D48" s="91" t="s">
        <v>419</v>
      </c>
      <c r="E48" s="91" t="s">
        <v>1</v>
      </c>
      <c r="F48" s="86" t="s">
        <v>417</v>
      </c>
      <c r="G48" s="85">
        <v>5</v>
      </c>
      <c r="H48" s="85"/>
      <c r="I48" s="85"/>
    </row>
    <row r="49" spans="1:9" ht="38.25" x14ac:dyDescent="0.25">
      <c r="A49" s="89" t="s">
        <v>385</v>
      </c>
      <c r="B49" s="83">
        <v>5</v>
      </c>
      <c r="C49" s="90" t="s">
        <v>418</v>
      </c>
      <c r="D49" s="91" t="s">
        <v>419</v>
      </c>
      <c r="E49" s="91" t="s">
        <v>1</v>
      </c>
      <c r="F49" s="86" t="s">
        <v>417</v>
      </c>
      <c r="G49" s="85">
        <v>34</v>
      </c>
      <c r="H49" s="85"/>
      <c r="I49" s="85"/>
    </row>
    <row r="50" spans="1:9" x14ac:dyDescent="0.25">
      <c r="A50" s="89" t="s">
        <v>386</v>
      </c>
      <c r="B50" s="83">
        <v>5</v>
      </c>
      <c r="C50" s="90" t="s">
        <v>23</v>
      </c>
      <c r="D50" s="91" t="s">
        <v>443</v>
      </c>
      <c r="E50" s="91" t="s">
        <v>444</v>
      </c>
      <c r="F50" s="86" t="s">
        <v>341</v>
      </c>
      <c r="G50" s="85" t="s">
        <v>327</v>
      </c>
      <c r="H50" s="85"/>
      <c r="I50" s="85"/>
    </row>
    <row r="51" spans="1:9" x14ac:dyDescent="0.25">
      <c r="A51" s="89" t="s">
        <v>387</v>
      </c>
      <c r="B51" s="83">
        <v>5</v>
      </c>
      <c r="C51" s="90" t="s">
        <v>22</v>
      </c>
      <c r="D51" s="91" t="s">
        <v>443</v>
      </c>
      <c r="E51" s="91" t="s">
        <v>444</v>
      </c>
      <c r="F51" s="86" t="s">
        <v>341</v>
      </c>
      <c r="G51" s="85" t="s">
        <v>327</v>
      </c>
      <c r="H51" s="85"/>
      <c r="I51" s="85"/>
    </row>
    <row r="53" spans="1:9" ht="18.75" x14ac:dyDescent="0.3">
      <c r="A53" s="193" t="s">
        <v>448</v>
      </c>
      <c r="B53" s="193"/>
      <c r="C53" s="193"/>
      <c r="D53" s="193"/>
      <c r="E53" s="193"/>
      <c r="F53" s="193"/>
      <c r="G53" s="193"/>
      <c r="H53" s="113"/>
      <c r="I53" s="113"/>
    </row>
    <row r="54" spans="1:9" x14ac:dyDescent="0.25">
      <c r="A54" s="89" t="s">
        <v>439</v>
      </c>
      <c r="B54" s="83">
        <v>1</v>
      </c>
      <c r="C54" s="83">
        <v>54</v>
      </c>
      <c r="D54" s="90" t="s">
        <v>446</v>
      </c>
      <c r="E54" s="90" t="s">
        <v>9</v>
      </c>
      <c r="F54" s="84" t="s">
        <v>407</v>
      </c>
      <c r="G54" s="83">
        <v>24</v>
      </c>
      <c r="H54" s="83"/>
      <c r="I54" s="90"/>
    </row>
    <row r="55" spans="1:9" x14ac:dyDescent="0.25">
      <c r="A55" s="89" t="s">
        <v>440</v>
      </c>
      <c r="B55" s="83">
        <v>2</v>
      </c>
      <c r="C55" s="83" t="s">
        <v>18</v>
      </c>
      <c r="D55" s="90" t="s">
        <v>446</v>
      </c>
      <c r="E55" s="90" t="s">
        <v>9</v>
      </c>
      <c r="F55" s="84" t="s">
        <v>407</v>
      </c>
      <c r="G55" s="83">
        <v>21</v>
      </c>
      <c r="H55" s="83"/>
      <c r="I55" s="90"/>
    </row>
    <row r="56" spans="1:9" x14ac:dyDescent="0.25">
      <c r="A56" s="89" t="s">
        <v>441</v>
      </c>
      <c r="B56" s="83">
        <v>3</v>
      </c>
      <c r="C56" s="83" t="s">
        <v>19</v>
      </c>
      <c r="D56" s="90" t="s">
        <v>576</v>
      </c>
      <c r="E56" s="90" t="s">
        <v>9</v>
      </c>
      <c r="F56" s="84" t="s">
        <v>341</v>
      </c>
      <c r="G56" s="83">
        <v>118</v>
      </c>
      <c r="H56" s="83"/>
      <c r="I56" s="90"/>
    </row>
    <row r="57" spans="1:9" x14ac:dyDescent="0.25">
      <c r="A57" s="89" t="s">
        <v>442</v>
      </c>
      <c r="B57" s="83">
        <v>4</v>
      </c>
      <c r="C57" s="83" t="s">
        <v>21</v>
      </c>
      <c r="D57" s="90" t="s">
        <v>446</v>
      </c>
      <c r="E57" s="90" t="s">
        <v>9</v>
      </c>
      <c r="F57" s="84" t="s">
        <v>407</v>
      </c>
      <c r="G57" s="83">
        <v>56</v>
      </c>
      <c r="H57" s="83"/>
      <c r="I57" s="90"/>
    </row>
  </sheetData>
  <sheetProtection algorithmName="SHA-512" hashValue="T2GDPR72TGfKKm2u0/p3QnSJpoc1aj97AbeibdGt4keJBWUfH1Ep6yakk5XRYY4i4opgVwU5IhPy0SoDn9BbNg==" saltValue="6NVDZ7la8shOOLaYw9PESw==" spinCount="100000" sheet="1" objects="1" scenarios="1"/>
  <mergeCells count="10">
    <mergeCell ref="A3:G3"/>
    <mergeCell ref="A15:G15"/>
    <mergeCell ref="A53:G53"/>
    <mergeCell ref="I1:I2"/>
    <mergeCell ref="A1:A2"/>
    <mergeCell ref="B1:B2"/>
    <mergeCell ref="C1:C2"/>
    <mergeCell ref="D1:D2"/>
    <mergeCell ref="E1:E2"/>
    <mergeCell ref="H1:H2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0" orientation="portrait" r:id="rId1"/>
  <headerFooter>
    <oddHeader>&amp;CPASPORT ZELENĚ NA POZEMCÍCH SPRÁVY KRNAP VE VRCHLABÍ
INVENTARIZACE KEŘŮ</oddHeader>
    <oddFooter>Stránka &amp;P</oddFooter>
  </headerFooter>
  <rowBreaks count="1" manualBreakCount="1">
    <brk id="5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8</vt:i4>
      </vt:variant>
    </vt:vector>
  </HeadingPairs>
  <TitlesOfParts>
    <vt:vector size="15" baseType="lpstr">
      <vt:lpstr>souhrn</vt:lpstr>
      <vt:lpstr>PÚ_1</vt:lpstr>
      <vt:lpstr>PÚ_2</vt:lpstr>
      <vt:lpstr>PÚ_3</vt:lpstr>
      <vt:lpstr>PÚ_4</vt:lpstr>
      <vt:lpstr>PÚ_5</vt:lpstr>
      <vt:lpstr>keře_inv</vt:lpstr>
      <vt:lpstr>keře_inv!Názvy_tisku</vt:lpstr>
      <vt:lpstr>keře_inv!Oblast_tisku</vt:lpstr>
      <vt:lpstr>PÚ_1!Oblast_tisku</vt:lpstr>
      <vt:lpstr>PÚ_2!Oblast_tisku</vt:lpstr>
      <vt:lpstr>PÚ_3!Oblast_tisku</vt:lpstr>
      <vt:lpstr>PÚ_4!Oblast_tisku</vt:lpstr>
      <vt:lpstr>PÚ_5!Oblast_tisku</vt:lpstr>
      <vt:lpstr>souhrn!Oblast_tisku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Kačenka</dc:creator>
  <cp:lastModifiedBy>kkynclova</cp:lastModifiedBy>
  <cp:lastPrinted>2018-04-06T12:27:06Z</cp:lastPrinted>
  <dcterms:created xsi:type="dcterms:W3CDTF">2017-09-25T12:30:52Z</dcterms:created>
  <dcterms:modified xsi:type="dcterms:W3CDTF">2018-04-06T12:27:14Z</dcterms:modified>
</cp:coreProperties>
</file>