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16380" windowHeight="8190" tabRatio="500" activeTab="0"/>
  </bookViews>
  <sheets>
    <sheet name="Stavební rozpočet" sheetId="1" r:id="rId1"/>
    <sheet name="Výkaz výměr" sheetId="2" r:id="rId2"/>
  </sheets>
  <definedNames/>
  <calcPr calcId="145621"/>
</workbook>
</file>

<file path=xl/sharedStrings.xml><?xml version="1.0" encoding="utf-8"?>
<sst xmlns="http://schemas.openxmlformats.org/spreadsheetml/2006/main" count="1501" uniqueCount="475">
  <si>
    <t>Stavební rozpočet -výkaz výměr</t>
  </si>
  <si>
    <t>Název stavby:</t>
  </si>
  <si>
    <t>Rekonstrukce mostu přes říčku Punkvu</t>
  </si>
  <si>
    <t>Doba výstavby:</t>
  </si>
  <si>
    <t>Objednatel:</t>
  </si>
  <si>
    <t>Správa jeskyní České republiky</t>
  </si>
  <si>
    <t>Druh stavby:</t>
  </si>
  <si>
    <t>Rekonstrukce</t>
  </si>
  <si>
    <t>Začátek výstavby:</t>
  </si>
  <si>
    <t>Projektant:</t>
  </si>
  <si>
    <t>ing.A.Hének</t>
  </si>
  <si>
    <t>Lokalita:</t>
  </si>
  <si>
    <t>Skalní mlýn v Moravském krasu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</si>
  <si>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</si>
  <si>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</si>
  <si>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</si>
  <si>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</si>
  <si>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</si>
  <si>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</si>
  <si>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</si>
  <si>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</si>
  <si>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</si>
  <si>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</si>
  <si>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</si>
  <si>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</t>
  </si>
  <si>
    <t>Hmotnost (t)</t>
  </si>
  <si>
    <t xml:space="preserve"> </t>
  </si>
  <si>
    <t>Rozměry</t>
  </si>
  <si>
    <t>cena (Kč)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</si>
  <si>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</si>
  <si>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</si>
  <si>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</si>
  <si>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</si>
  <si>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</si>
  <si>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</si>
  <si>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</si>
  <si>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</si>
  <si>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</si>
  <si>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</si>
  <si>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</t>
  </si>
  <si>
    <t>Přípravné a přidružené práce</t>
  </si>
  <si>
    <t>HS</t>
  </si>
  <si>
    <t>1</t>
  </si>
  <si>
    <t>979082212R00</t>
  </si>
  <si>
    <t>Vodorovná doprava suti po suchu do 50 m</t>
  </si>
  <si>
    <t>t</t>
  </si>
  <si>
    <t>5</t>
  </si>
  <si>
    <t>11_</t>
  </si>
  <si>
    <t>1_</t>
  </si>
  <si>
    <t>_</t>
  </si>
  <si>
    <t>2</t>
  </si>
  <si>
    <t>979087213R00</t>
  </si>
  <si>
    <t>Nakládání vybouraných hmot na dopravní prostředky</t>
  </si>
  <si>
    <t>3</t>
  </si>
  <si>
    <t>979990104R00</t>
  </si>
  <si>
    <t>Poplatek za skládku suti - beton</t>
  </si>
  <si>
    <t>4</t>
  </si>
  <si>
    <t>112203222R00</t>
  </si>
  <si>
    <t>Odstranění pařezů, ztíž. pod.,D do 30 cm, svah 1:2</t>
  </si>
  <si>
    <t>kus</t>
  </si>
  <si>
    <t>113107143R00</t>
  </si>
  <si>
    <t>Odstranění podkladu pl.do 200 m2, živice tl. 15 cm</t>
  </si>
  <si>
    <t>m2</t>
  </si>
  <si>
    <t>6</t>
  </si>
  <si>
    <t>113107141R00</t>
  </si>
  <si>
    <t>Odstranění podkladu pl. do 200 m2, živice tl. 5 cm</t>
  </si>
  <si>
    <t>7</t>
  </si>
  <si>
    <t>113107405R00</t>
  </si>
  <si>
    <t>Odstranění podkladu nad 50 m2,kam.těžené tl.5 cm</t>
  </si>
  <si>
    <t>8</t>
  </si>
  <si>
    <t>113107550R00</t>
  </si>
  <si>
    <t>Odstranění podkladu pl. 50 m2,kam.drcené tl.50 cm</t>
  </si>
  <si>
    <t>9</t>
  </si>
  <si>
    <t>113108313R00</t>
  </si>
  <si>
    <t>Odstranění podkladu pl.do 50 m2, živice tl. 13 cm</t>
  </si>
  <si>
    <t>10</t>
  </si>
  <si>
    <t>119001401R00</t>
  </si>
  <si>
    <t>Dočasné zajištění ocelového potrubí do DN 200 mm</t>
  </si>
  <si>
    <t>m</t>
  </si>
  <si>
    <t>111201101R00</t>
  </si>
  <si>
    <t>Odstranění křovin i s kořeny na ploše do 1000 m2</t>
  </si>
  <si>
    <t>12</t>
  </si>
  <si>
    <t>113152112R00</t>
  </si>
  <si>
    <t>Odstranění podkladu z kameniva drceného</t>
  </si>
  <si>
    <t>m3</t>
  </si>
  <si>
    <t>13</t>
  </si>
  <si>
    <t>113109313R00</t>
  </si>
  <si>
    <t>Odstranění podkladu pl.50 m2, bet.prostý tl.13 cm</t>
  </si>
  <si>
    <t>14</t>
  </si>
  <si>
    <t>113106211R00</t>
  </si>
  <si>
    <t>Rozebrání dlažeb z velkých kostek v kam. těženém</t>
  </si>
  <si>
    <t>15</t>
  </si>
  <si>
    <t>114203104R00</t>
  </si>
  <si>
    <t>Rozebrání záhozů a rovnanin na sucho</t>
  </si>
  <si>
    <t>16</t>
  </si>
  <si>
    <t>979081111R00</t>
  </si>
  <si>
    <t>Odvoz suti a vybour. hmot na skládku do 1 km</t>
  </si>
  <si>
    <t>17</t>
  </si>
  <si>
    <t>979081121R00</t>
  </si>
  <si>
    <t>Příplatek k odvozu za každý další 1 km</t>
  </si>
  <si>
    <t>18</t>
  </si>
  <si>
    <t>111101113R00</t>
  </si>
  <si>
    <t>Odstranění ruderálního porostu na svahu do 1:1</t>
  </si>
  <si>
    <t>19</t>
  </si>
  <si>
    <t>112101101R00</t>
  </si>
  <si>
    <t>Kácení stromů listnatých o průměru kmene 10-30 cm</t>
  </si>
  <si>
    <t>20</t>
  </si>
  <si>
    <t>112201101R00</t>
  </si>
  <si>
    <t>Odstranění pařezů pod úrovní, o průměru 10 - 30 cm</t>
  </si>
  <si>
    <t>Odkopávky a prokopávky</t>
  </si>
  <si>
    <t>21</t>
  </si>
  <si>
    <t>122301101R00</t>
  </si>
  <si>
    <t>Odkopávky nezapažené v hor. 4 do 100 m3</t>
  </si>
  <si>
    <t>12_</t>
  </si>
  <si>
    <t>22</t>
  </si>
  <si>
    <t>129103101R00</t>
  </si>
  <si>
    <t>Čištění vodotečí, hl. do 2,5 m, š.do 5 m, v hor.2</t>
  </si>
  <si>
    <t>Hloubené vykopávky</t>
  </si>
  <si>
    <t>23</t>
  </si>
  <si>
    <t>139601103R00</t>
  </si>
  <si>
    <t>Ruční výkop jam, rýh a šachet v hornině tř. 4</t>
  </si>
  <si>
    <t>13_</t>
  </si>
  <si>
    <t>Konstrukce ze zemin</t>
  </si>
  <si>
    <t>24</t>
  </si>
  <si>
    <t>174201201R00</t>
  </si>
  <si>
    <t>Zásyp jam po pařezech D 30 cm</t>
  </si>
  <si>
    <t>17_</t>
  </si>
  <si>
    <t>25</t>
  </si>
  <si>
    <t>174101102R00</t>
  </si>
  <si>
    <t>Zásyp ruční se zhutněním</t>
  </si>
  <si>
    <t>26</t>
  </si>
  <si>
    <t>171101102R00</t>
  </si>
  <si>
    <t>Uložení sypaniny do násypů zhutněných na 96% PS</t>
  </si>
  <si>
    <t>27</t>
  </si>
  <si>
    <t>Povrchové úpravy terénu</t>
  </si>
  <si>
    <t>28</t>
  </si>
  <si>
    <t>182001133R00</t>
  </si>
  <si>
    <t>Plošná úprava terénu, nerovnosti do 20 cm svah 1:1</t>
  </si>
  <si>
    <t>18_</t>
  </si>
  <si>
    <t>29</t>
  </si>
  <si>
    <t>182303113R00</t>
  </si>
  <si>
    <t>Doplnění ornice tl. do 5 cm na svahu 1 : 1</t>
  </si>
  <si>
    <t>30</t>
  </si>
  <si>
    <t>31</t>
  </si>
  <si>
    <t>182601112R00</t>
  </si>
  <si>
    <t>Obrovnání svahů násypů kameny, tl. vrstvy 50-80 cm</t>
  </si>
  <si>
    <t>Úprava podloží a základové spáry</t>
  </si>
  <si>
    <t>32</t>
  </si>
  <si>
    <t>212312111R00</t>
  </si>
  <si>
    <t>Hubený drenážní beton za opěrami</t>
  </si>
  <si>
    <t>21_</t>
  </si>
  <si>
    <t>2_</t>
  </si>
  <si>
    <t>Základy</t>
  </si>
  <si>
    <t>33</t>
  </si>
  <si>
    <t>272311117R00</t>
  </si>
  <si>
    <t>Beton základ. kleneb prostý z cem. portlad. C25/30</t>
  </si>
  <si>
    <t>27_</t>
  </si>
  <si>
    <t>34</t>
  </si>
  <si>
    <t>277354111R00</t>
  </si>
  <si>
    <t>Bednění základových pilířů zřízení</t>
  </si>
  <si>
    <t>35</t>
  </si>
  <si>
    <t>277361214R00</t>
  </si>
  <si>
    <t>Výztuž základových pilířů do 12 mm z oceli 10 505</t>
  </si>
  <si>
    <t>36</t>
  </si>
  <si>
    <t>277361314R00</t>
  </si>
  <si>
    <t>Výztuž základových pilířů nad 12 mm z oceli 10 505</t>
  </si>
  <si>
    <t>Zdi podpěrné a volné</t>
  </si>
  <si>
    <t>37</t>
  </si>
  <si>
    <t>317353121</t>
  </si>
  <si>
    <t>Bednění říms zřízení</t>
  </si>
  <si>
    <t>31_</t>
  </si>
  <si>
    <t>3_</t>
  </si>
  <si>
    <t>38</t>
  </si>
  <si>
    <t>31735-3221</t>
  </si>
  <si>
    <t>Bednění říms - odstranění</t>
  </si>
  <si>
    <t>39</t>
  </si>
  <si>
    <t>317361214R00</t>
  </si>
  <si>
    <t>Výztuž říms ze železobetonu z oceli 10 505</t>
  </si>
  <si>
    <t>40</t>
  </si>
  <si>
    <t>317661121R00</t>
  </si>
  <si>
    <t>Výplň spár říms. tvárnic mostů tmelem silikonovým</t>
  </si>
  <si>
    <t>41</t>
  </si>
  <si>
    <t>317321118R00</t>
  </si>
  <si>
    <t>Římsy ze železového betonu C 30/37</t>
  </si>
  <si>
    <t>Zdi přehradní a opěrné</t>
  </si>
  <si>
    <t>42</t>
  </si>
  <si>
    <t>327213345R00</t>
  </si>
  <si>
    <t>Zdivo nadzákl. opěrné z lom.kam., obkladní vyspár.</t>
  </si>
  <si>
    <t>32_</t>
  </si>
  <si>
    <t>Rekonstrukce tunelů</t>
  </si>
  <si>
    <t>43</t>
  </si>
  <si>
    <t>395366113R00</t>
  </si>
  <si>
    <t>Výztuž torkret. pláště sítí v opěře,drát D 6,3 mm</t>
  </si>
  <si>
    <t>39_</t>
  </si>
  <si>
    <t>44</t>
  </si>
  <si>
    <t>395367222R00</t>
  </si>
  <si>
    <t>Kotvičky pro přichycení osazné do tmelu D 12 mm</t>
  </si>
  <si>
    <t>45</t>
  </si>
  <si>
    <t>392571111R00</t>
  </si>
  <si>
    <t>Otryskání pískem líce obezdívky v opěře</t>
  </si>
  <si>
    <t>46</t>
  </si>
  <si>
    <t>392901111R00</t>
  </si>
  <si>
    <t>Omytí líce obezdívky tlakovou vodou v opěře</t>
  </si>
  <si>
    <t>47</t>
  </si>
  <si>
    <t>395341156R00</t>
  </si>
  <si>
    <t>Beton střík.do 5 cm obezd.v opěře,suchá,V4 C25/30</t>
  </si>
  <si>
    <t>48</t>
  </si>
  <si>
    <t>395367221R00</t>
  </si>
  <si>
    <t>Kotvičky pro kotvení prahů osazné do tmelu D 14</t>
  </si>
  <si>
    <t>Vodorovné nosné konstrukce (pro inženýrské stavby)</t>
  </si>
  <si>
    <t>49</t>
  </si>
  <si>
    <t>421351111R00</t>
  </si>
  <si>
    <t>Bednění konstrukcí deskových, bez náběhu - zřízení</t>
  </si>
  <si>
    <t>42_</t>
  </si>
  <si>
    <t>4_</t>
  </si>
  <si>
    <t>50</t>
  </si>
  <si>
    <t>421351191R00</t>
  </si>
  <si>
    <t>Příplatek za bednění náběhů rovinných</t>
  </si>
  <si>
    <t>51</t>
  </si>
  <si>
    <t>421351211R00</t>
  </si>
  <si>
    <t>Bednění konstrukcí deskových - odstranění</t>
  </si>
  <si>
    <t>52</t>
  </si>
  <si>
    <t>428941112R00</t>
  </si>
  <si>
    <t>Osazení mostních ložisek hmotnosti do 110 kg</t>
  </si>
  <si>
    <t>53</t>
  </si>
  <si>
    <t>16211010</t>
  </si>
  <si>
    <t>Ložisko hrncové</t>
  </si>
  <si>
    <t>0</t>
  </si>
  <si>
    <t>54</t>
  </si>
  <si>
    <t>421321118R00</t>
  </si>
  <si>
    <t>Mostní konstrukce, desky nebo klenby z ŽB, C 30/37</t>
  </si>
  <si>
    <t>55</t>
  </si>
  <si>
    <t>421361226</t>
  </si>
  <si>
    <t>Výztuž mostních desek ŽB přes 12 mm,ocel 10 505</t>
  </si>
  <si>
    <t>56</t>
  </si>
  <si>
    <t>421351311</t>
  </si>
  <si>
    <t>Zřízení a odstranění bednění dilatač.závěru</t>
  </si>
  <si>
    <t>57</t>
  </si>
  <si>
    <t>421351131</t>
  </si>
  <si>
    <t>Bednění bočních stěn</t>
  </si>
  <si>
    <t>58</t>
  </si>
  <si>
    <t>423353111R00</t>
  </si>
  <si>
    <t>Bednění čel mostních konstrukcí - zřízení</t>
  </si>
  <si>
    <t>59</t>
  </si>
  <si>
    <t>423353211R00</t>
  </si>
  <si>
    <t>Bednění čel mostních konstrukcí - odstranění</t>
  </si>
  <si>
    <t>Zpevněné plochy (kromě vozovek a železničního svršku)</t>
  </si>
  <si>
    <t>60</t>
  </si>
  <si>
    <t>461311620R00</t>
  </si>
  <si>
    <t>Patka pro dlažbu z betonu, průřezu nad 0,20 m2</t>
  </si>
  <si>
    <t>46_</t>
  </si>
  <si>
    <t>61</t>
  </si>
  <si>
    <t>465511512R00</t>
  </si>
  <si>
    <t>Dlažba z lom. kam. do MC do 20 m2 vysp. MCs, 25 cm</t>
  </si>
  <si>
    <t>Podkladní vrstvy komunikací a zpevněných ploch</t>
  </si>
  <si>
    <t>62</t>
  </si>
  <si>
    <t>566905111R00</t>
  </si>
  <si>
    <t>Vyspravení podkladu po překopech podklad.betonem</t>
  </si>
  <si>
    <t>56_</t>
  </si>
  <si>
    <t>5_</t>
  </si>
  <si>
    <t>63</t>
  </si>
  <si>
    <t>564251111R00</t>
  </si>
  <si>
    <t>Podklad ze štěrkopísku po zhutnění tloušťky 15 cm</t>
  </si>
  <si>
    <t>64</t>
  </si>
  <si>
    <t>567211225R00</t>
  </si>
  <si>
    <t>Betonový přechodový klín za opěrou</t>
  </si>
  <si>
    <t>65</t>
  </si>
  <si>
    <t>565161212R00</t>
  </si>
  <si>
    <t>Podklad z obal kamen.ACP 22+, š.nad 3 m, tl. 9 cm</t>
  </si>
  <si>
    <t>66</t>
  </si>
  <si>
    <t>564871111R00</t>
  </si>
  <si>
    <t>Podklad ze štěrkodrti po zhutnění tloušťky 25 cm</t>
  </si>
  <si>
    <t>Kryty štěrkových a živičných pozemních komunikací a zpevněných ploch</t>
  </si>
  <si>
    <t>67</t>
  </si>
  <si>
    <t>577112123RT3</t>
  </si>
  <si>
    <t>Beton asfalt. ACO 11 S modifik. š.nad 3 m, tl.4 cm</t>
  </si>
  <si>
    <t>57_</t>
  </si>
  <si>
    <t>68</t>
  </si>
  <si>
    <t>573211111R00</t>
  </si>
  <si>
    <t>Postřik živičný spojovací z asfaltu 0,5-0,7 kg/m2</t>
  </si>
  <si>
    <t>69</t>
  </si>
  <si>
    <t>577114124R00</t>
  </si>
  <si>
    <t>Beton asf.ACL 16 S,modif.ložný š.nad 3 m, tl. 5 cm</t>
  </si>
  <si>
    <t>70</t>
  </si>
  <si>
    <t>578132121R00</t>
  </si>
  <si>
    <t>Litý asfalt z kameniva jemnozrnný nad 3 m tl. 3 cm</t>
  </si>
  <si>
    <t>71</t>
  </si>
  <si>
    <t>Úprava povrchů vnější</t>
  </si>
  <si>
    <t>72</t>
  </si>
  <si>
    <t>627471111R00</t>
  </si>
  <si>
    <t>Sanace opěr do 10 mm</t>
  </si>
  <si>
    <t>62_</t>
  </si>
  <si>
    <t>6_</t>
  </si>
  <si>
    <t>711</t>
  </si>
  <si>
    <t>Izolace proti vodě</t>
  </si>
  <si>
    <t>PS</t>
  </si>
  <si>
    <t>73</t>
  </si>
  <si>
    <t>711381022R00</t>
  </si>
  <si>
    <t>Izolace mostní s pečetící vrstvou tl. 10 mm</t>
  </si>
  <si>
    <t>711_</t>
  </si>
  <si>
    <t>71_</t>
  </si>
  <si>
    <t>74</t>
  </si>
  <si>
    <t>711747588R00</t>
  </si>
  <si>
    <t>Opracování prostupů na plášť. troubu, D do 200 mm</t>
  </si>
  <si>
    <t>75</t>
  </si>
  <si>
    <t>711786066R00</t>
  </si>
  <si>
    <t>Těsnění prostupů trub Hizot, tmelem, D do 200 mm</t>
  </si>
  <si>
    <t>76</t>
  </si>
  <si>
    <t>711212221R00</t>
  </si>
  <si>
    <t>Stěrka hydroizolační líce opěr a křídel</t>
  </si>
  <si>
    <t>77</t>
  </si>
  <si>
    <t>711502020RZ3</t>
  </si>
  <si>
    <t>Nopová folie za lícem opěr</t>
  </si>
  <si>
    <t>767</t>
  </si>
  <si>
    <t>Konstrukce doplňkové stavební (zámečnické)</t>
  </si>
  <si>
    <t>78</t>
  </si>
  <si>
    <t>767995104R00</t>
  </si>
  <si>
    <t>Výroba a montáž zábradlí</t>
  </si>
  <si>
    <t>kg</t>
  </si>
  <si>
    <t>767_</t>
  </si>
  <si>
    <t>76_</t>
  </si>
  <si>
    <t>87</t>
  </si>
  <si>
    <t>Potrubí z trub plastických, skleněných a čedičových</t>
  </si>
  <si>
    <t>79</t>
  </si>
  <si>
    <t>877353121RT4</t>
  </si>
  <si>
    <t>Montáž tvarovek odboč. plast. gum. kroužek DN 200</t>
  </si>
  <si>
    <t>87_</t>
  </si>
  <si>
    <t>8_</t>
  </si>
  <si>
    <t>80</t>
  </si>
  <si>
    <t>871313121RT2</t>
  </si>
  <si>
    <t>Montáž trub z plastu, gumový kroužek, DN 150</t>
  </si>
  <si>
    <t>93</t>
  </si>
  <si>
    <t>Různé dokončovací konstrukce a práce inženýrských staveb</t>
  </si>
  <si>
    <t>81</t>
  </si>
  <si>
    <t>931941313R00</t>
  </si>
  <si>
    <t>Osazení dilat.zařízení pohyb.,ocel.části š. 270 mm</t>
  </si>
  <si>
    <t>93_</t>
  </si>
  <si>
    <t>9_</t>
  </si>
  <si>
    <t>82</t>
  </si>
  <si>
    <t>936172111R00</t>
  </si>
  <si>
    <t>Osazení kotev říms</t>
  </si>
  <si>
    <t>83</t>
  </si>
  <si>
    <t>936941111R00</t>
  </si>
  <si>
    <t>Osazení odvodňovače mostovky do 150 kg</t>
  </si>
  <si>
    <t>84</t>
  </si>
  <si>
    <t>936172113R00</t>
  </si>
  <si>
    <t>Osazení výškové značky do římsy</t>
  </si>
  <si>
    <t>94</t>
  </si>
  <si>
    <t>Lešení a stavební výtahy</t>
  </si>
  <si>
    <t>85</t>
  </si>
  <si>
    <t>948171211R00</t>
  </si>
  <si>
    <t>Konstrukce z oc. nosníků H 20 m dl. 12 m - zřízení</t>
  </si>
  <si>
    <t>94_</t>
  </si>
  <si>
    <t>86</t>
  </si>
  <si>
    <t>948171212R00</t>
  </si>
  <si>
    <t>Konstrukce z oc. nosníků H 20 m dl. 12 m - odstr.</t>
  </si>
  <si>
    <t>948101511R00</t>
  </si>
  <si>
    <t>Podpěrné konstrukce H do 10 m IS PEINER-zřízení</t>
  </si>
  <si>
    <t>88</t>
  </si>
  <si>
    <t>948101521R00</t>
  </si>
  <si>
    <t>Podpěrné konstrukce H do 10 m IS PEINER-odstr.</t>
  </si>
  <si>
    <t>96</t>
  </si>
  <si>
    <t>Bourání konstrukcí</t>
  </si>
  <si>
    <t>89</t>
  </si>
  <si>
    <t>961051111R00</t>
  </si>
  <si>
    <t>Bourání mostních základů železobetonových</t>
  </si>
  <si>
    <t>96_</t>
  </si>
  <si>
    <t>90</t>
  </si>
  <si>
    <t>91</t>
  </si>
  <si>
    <t>92</t>
  </si>
  <si>
    <t>962051111R00</t>
  </si>
  <si>
    <t>Bourání mostních zdí a pilířů železobetonových</t>
  </si>
  <si>
    <t>966077121R00</t>
  </si>
  <si>
    <t>Odstranění doplňkových konstrukcí do 50 kg</t>
  </si>
  <si>
    <t>95</t>
  </si>
  <si>
    <t>966077151R00</t>
  </si>
  <si>
    <t>Odstranění doplňkových konstrukcí do 1000 kg</t>
  </si>
  <si>
    <t>97</t>
  </si>
  <si>
    <t>966006132R00</t>
  </si>
  <si>
    <t>Odstranění doprav.značek se sloupky, s bet.patkami</t>
  </si>
  <si>
    <t>98</t>
  </si>
  <si>
    <t>979012112R00</t>
  </si>
  <si>
    <t>Svislá doprava suti na výšku do 3,5 m</t>
  </si>
  <si>
    <t>99</t>
  </si>
  <si>
    <t>100</t>
  </si>
  <si>
    <t>101</t>
  </si>
  <si>
    <t>979093111R00</t>
  </si>
  <si>
    <t>Uložení suti na skládku bez zhutnění</t>
  </si>
  <si>
    <t>Demolice</t>
  </si>
  <si>
    <t>102</t>
  </si>
  <si>
    <t>981511114R00</t>
  </si>
  <si>
    <t>Demolice konstrukcí postup.rozebráním, železobeton</t>
  </si>
  <si>
    <t>98_</t>
  </si>
  <si>
    <t>103</t>
  </si>
  <si>
    <t>979990108R00</t>
  </si>
  <si>
    <t>Poplatek za skládku suti - železobeton</t>
  </si>
  <si>
    <t>104</t>
  </si>
  <si>
    <t>105</t>
  </si>
  <si>
    <t>979086213R00</t>
  </si>
  <si>
    <t>Nakládání vybouraných hmot na dopravní prostředek</t>
  </si>
  <si>
    <t>106</t>
  </si>
  <si>
    <t>979013312R00</t>
  </si>
  <si>
    <t>Svislá doprava vybouraných hmot na výšku do 3,5 m</t>
  </si>
  <si>
    <t>107</t>
  </si>
  <si>
    <t>108</t>
  </si>
  <si>
    <t>Poznámka:</t>
  </si>
  <si>
    <t>Výkaz výměr</t>
  </si>
  <si>
    <t>Cenová soustava</t>
  </si>
  <si>
    <t>RTS I / 2014</t>
  </si>
  <si>
    <t>129,76</t>
  </si>
  <si>
    <t>2*3,7*5,2</t>
  </si>
  <si>
    <t>4,46*12,42</t>
  </si>
  <si>
    <t>4.46*12,42</t>
  </si>
  <si>
    <t>2*3,33*6,00</t>
  </si>
  <si>
    <t>2*3,7*5,16</t>
  </si>
  <si>
    <t>3*4,0*4,0</t>
  </si>
  <si>
    <t>2*3,00*1,9*6,0</t>
  </si>
  <si>
    <t>12.42*4,46</t>
  </si>
  <si>
    <t>4*1,2*1,0*2,0</t>
  </si>
  <si>
    <t>15*5*0,3</t>
  </si>
  <si>
    <t>2*0,80*3*5,4</t>
  </si>
  <si>
    <t>2*0,8*5,4</t>
  </si>
  <si>
    <t>2*1,0*0,5*7,0</t>
  </si>
  <si>
    <t>3*4*4</t>
  </si>
  <si>
    <t>3*1,2*1,0</t>
  </si>
  <si>
    <t>51,71   bednění opěr a křídel</t>
  </si>
  <si>
    <t>0,50</t>
  </si>
  <si>
    <t>2*1,30*17,83+4*0,35</t>
  </si>
  <si>
    <t>1,10</t>
  </si>
  <si>
    <t>4*0,35</t>
  </si>
  <si>
    <t>3*1,0*1,3*0,9</t>
  </si>
  <si>
    <t>6*50,57</t>
  </si>
  <si>
    <t>9*43,0</t>
  </si>
  <si>
    <t>43+4</t>
  </si>
  <si>
    <t>43+3</t>
  </si>
  <si>
    <t>2*43</t>
  </si>
  <si>
    <t>6,4*12,38</t>
  </si>
  <si>
    <t>2*0.8*12,38</t>
  </si>
  <si>
    <t>2*3</t>
  </si>
  <si>
    <t>50,4</t>
  </si>
  <si>
    <t>5,46</t>
  </si>
  <si>
    <t>2*6,4*0,2</t>
  </si>
  <si>
    <t>12,38*0,35*2</t>
  </si>
  <si>
    <t>3*0,20*2,2*1,2</t>
  </si>
  <si>
    <t>3*2,2*1,05</t>
  </si>
  <si>
    <t>4*0,7*2.8</t>
  </si>
  <si>
    <t>2*3,7*5,4</t>
  </si>
  <si>
    <t>2*5,4*2,2</t>
  </si>
  <si>
    <t>2*3,0*5,4</t>
  </si>
  <si>
    <t>2*3,7*5,4+12,42*5,4</t>
  </si>
  <si>
    <t>2*3,7*5,4+5,4*12,42</t>
  </si>
  <si>
    <t>5,4*12,42</t>
  </si>
  <si>
    <t>13,38*6,40+4*0,5*2,22</t>
  </si>
  <si>
    <t>2*3,0*5,4+4*2,22*1,5</t>
  </si>
  <si>
    <t>2*5,4*3+4*1,5*2,2</t>
  </si>
  <si>
    <t>6*129,76</t>
  </si>
  <si>
    <t>2*6,0+2*1,5</t>
  </si>
  <si>
    <t>8,0*12,0*0,15</t>
  </si>
  <si>
    <t>8*12,0*0,15</t>
  </si>
  <si>
    <t>6*0,5</t>
  </si>
  <si>
    <t>2*0,38*1,02*6,0</t>
  </si>
  <si>
    <t>2*0,57*1,08*5,49</t>
  </si>
  <si>
    <t>4*2,85*0,5*0,5</t>
  </si>
  <si>
    <t>4*0,30*0.40*2,7</t>
  </si>
  <si>
    <t>2*0,20*0,20*1,10</t>
  </si>
  <si>
    <t>33,50</t>
  </si>
  <si>
    <t>6*80,7789</t>
  </si>
  <si>
    <t>ZRN celkem</t>
  </si>
  <si>
    <t>VRN- zařízení staveniště</t>
  </si>
  <si>
    <t xml:space="preserve">VRN- mimostaveništní doprava </t>
  </si>
  <si>
    <t>Cena celkem bez DPH</t>
  </si>
  <si>
    <t>%</t>
  </si>
  <si>
    <t>Dodavatel:</t>
  </si>
  <si>
    <t xml:space="preserve">IČ: </t>
  </si>
  <si>
    <t>10.10.2016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</si>
</sst>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8">
    <font>
      <sz val="10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vertical="center"/>
      <protection/>
    </xf>
    <xf numFmtId="49" fontId="2" fillId="0" borderId="6" xfId="0" applyNumberFormat="1" applyFont="1" applyFill="1" applyBorder="1" applyAlignment="1" applyProtection="1">
      <alignment horizontal="left" vertical="center"/>
      <protection/>
    </xf>
    <xf numFmtId="49" fontId="2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49" fontId="2" fillId="2" borderId="12" xfId="0" applyNumberFormat="1" applyFont="1" applyFill="1" applyBorder="1" applyAlignment="1" applyProtection="1">
      <alignment horizontal="left" vertical="center"/>
      <protection/>
    </xf>
    <xf numFmtId="49" fontId="3" fillId="2" borderId="12" xfId="0" applyNumberFormat="1" applyFont="1" applyFill="1" applyBorder="1" applyAlignment="1" applyProtection="1">
      <alignment horizontal="left" vertical="center"/>
      <protection/>
    </xf>
    <xf numFmtId="4" fontId="3" fillId="2" borderId="12" xfId="0" applyNumberFormat="1" applyFont="1" applyFill="1" applyBorder="1" applyAlignment="1" applyProtection="1">
      <alignment horizontal="right" vertical="center"/>
      <protection/>
    </xf>
    <xf numFmtId="49" fontId="3" fillId="2" borderId="12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2" borderId="0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9" fontId="2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/>
    <xf numFmtId="2" fontId="0" fillId="0" borderId="0" xfId="0" applyNumberFormat="1"/>
    <xf numFmtId="4" fontId="2" fillId="3" borderId="0" xfId="0" applyNumberFormat="1" applyFont="1" applyFill="1" applyBorder="1" applyAlignment="1" applyProtection="1">
      <alignment horizontal="right" vertical="center"/>
      <protection/>
    </xf>
    <xf numFmtId="0" fontId="0" fillId="3" borderId="0" xfId="0" applyFill="1"/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3" borderId="21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164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2" borderId="12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164" fontId="2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/>
    <xf numFmtId="4" fontId="7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49"/>
  <sheetViews>
    <sheetView tabSelected="1" workbookViewId="0" topLeftCell="A145">
      <selection activeCell="I149" sqref="I149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8.140625" style="0" customWidth="1"/>
    <col min="5" max="5" width="4.421875" style="0" customWidth="1"/>
    <col min="6" max="6" width="12.7109375" style="0" customWidth="1"/>
    <col min="7" max="7" width="12.00390625" style="0" customWidth="1"/>
    <col min="8" max="9" width="14.28125" style="0" customWidth="1"/>
    <col min="10" max="11" width="11.7109375" style="0" customWidth="1"/>
    <col min="12" max="45" width="11.57421875" style="0" hidden="1" customWidth="1"/>
  </cols>
  <sheetData>
    <row r="1" spans="1:11" ht="18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12.75" customHeight="1">
      <c r="A2" s="44" t="s">
        <v>1</v>
      </c>
      <c r="B2" s="44"/>
      <c r="C2" s="44"/>
      <c r="D2" s="45" t="s">
        <v>2</v>
      </c>
      <c r="E2" s="46" t="s">
        <v>3</v>
      </c>
      <c r="F2" s="46"/>
      <c r="G2" s="46"/>
      <c r="H2" s="47" t="s">
        <v>4</v>
      </c>
      <c r="I2" s="49" t="s">
        <v>5</v>
      </c>
      <c r="J2" s="49"/>
      <c r="K2" s="49"/>
      <c r="L2" s="1"/>
    </row>
    <row r="3" spans="1:12" ht="12.75" customHeight="1">
      <c r="A3" s="44"/>
      <c r="B3" s="44"/>
      <c r="C3" s="44"/>
      <c r="D3" s="45"/>
      <c r="E3" s="46"/>
      <c r="F3" s="46"/>
      <c r="G3" s="46"/>
      <c r="H3" s="48"/>
      <c r="I3" s="49"/>
      <c r="J3" s="49"/>
      <c r="K3" s="49"/>
      <c r="L3" s="1"/>
    </row>
    <row r="4" spans="1:12" ht="12.75" customHeight="1">
      <c r="A4" s="51" t="s">
        <v>472</v>
      </c>
      <c r="B4" s="51"/>
      <c r="C4" s="51"/>
      <c r="D4" s="52"/>
      <c r="E4" s="53" t="s">
        <v>8</v>
      </c>
      <c r="F4" s="53"/>
      <c r="G4" s="53" t="s">
        <v>474</v>
      </c>
      <c r="H4" s="48" t="s">
        <v>9</v>
      </c>
      <c r="I4" s="50" t="s">
        <v>10</v>
      </c>
      <c r="J4" s="50"/>
      <c r="K4" s="50"/>
      <c r="L4" s="1"/>
    </row>
    <row r="5" spans="1:12" ht="12.75" customHeight="1">
      <c r="A5" s="51"/>
      <c r="B5" s="51"/>
      <c r="C5" s="51"/>
      <c r="D5" s="52"/>
      <c r="E5" s="48"/>
      <c r="F5" s="53"/>
      <c r="G5" s="53"/>
      <c r="H5" s="48"/>
      <c r="I5" s="50"/>
      <c r="J5" s="50"/>
      <c r="K5" s="50"/>
      <c r="L5" s="1"/>
    </row>
    <row r="6" spans="1:12" ht="12.75" customHeight="1">
      <c r="A6" s="51" t="s">
        <v>473</v>
      </c>
      <c r="B6" s="51"/>
      <c r="C6" s="51"/>
      <c r="D6" s="52"/>
      <c r="E6" s="53" t="s">
        <v>13</v>
      </c>
      <c r="F6" s="53"/>
      <c r="G6" s="54">
        <v>42855</v>
      </c>
      <c r="H6" s="48"/>
      <c r="I6" s="50"/>
      <c r="J6" s="50"/>
      <c r="K6" s="50"/>
      <c r="L6" s="1"/>
    </row>
    <row r="7" spans="1:12" ht="12.75" customHeight="1">
      <c r="A7" s="51"/>
      <c r="B7" s="51"/>
      <c r="C7" s="51"/>
      <c r="D7" s="52"/>
      <c r="E7" s="48"/>
      <c r="F7" s="53"/>
      <c r="G7" s="54"/>
      <c r="H7" s="48"/>
      <c r="I7" s="50"/>
      <c r="J7" s="50"/>
      <c r="K7" s="50"/>
      <c r="L7" s="1"/>
    </row>
    <row r="8" spans="1:12" ht="12.75" customHeight="1" thickBot="1">
      <c r="A8" s="55" t="s">
        <v>15</v>
      </c>
      <c r="B8" s="55"/>
      <c r="C8" s="55"/>
      <c r="D8" s="56">
        <v>821</v>
      </c>
      <c r="E8" s="57" t="s">
        <v>16</v>
      </c>
      <c r="F8" s="57"/>
      <c r="G8" s="58">
        <v>42551</v>
      </c>
      <c r="H8" s="48" t="s">
        <v>17</v>
      </c>
      <c r="I8" s="59" t="s">
        <v>10</v>
      </c>
      <c r="J8" s="59"/>
      <c r="K8" s="59"/>
      <c r="L8" s="1"/>
    </row>
    <row r="9" spans="1:12" ht="13.5" thickBot="1">
      <c r="A9" s="55"/>
      <c r="B9" s="55"/>
      <c r="C9" s="55"/>
      <c r="D9" s="56"/>
      <c r="E9" s="56"/>
      <c r="F9" s="57"/>
      <c r="G9" s="58"/>
      <c r="H9" s="56"/>
      <c r="I9" s="59"/>
      <c r="J9" s="59"/>
      <c r="K9" s="59"/>
      <c r="L9" s="1"/>
    </row>
    <row r="10" spans="1:12" ht="12.75">
      <c r="A10" s="3" t="s">
        <v>18</v>
      </c>
      <c r="B10" s="4" t="s">
        <v>19</v>
      </c>
      <c r="C10" s="4" t="s">
        <v>20</v>
      </c>
      <c r="D10" s="4" t="s">
        <v>21</v>
      </c>
      <c r="E10" s="4" t="s">
        <v>22</v>
      </c>
      <c r="F10" s="5" t="s">
        <v>23</v>
      </c>
      <c r="G10" s="6" t="s">
        <v>24</v>
      </c>
      <c r="H10" s="60"/>
      <c r="I10" s="61"/>
      <c r="J10" s="62" t="s">
        <v>25</v>
      </c>
      <c r="K10" s="62"/>
      <c r="L10" s="7"/>
    </row>
    <row r="11" spans="1:22" ht="13.5" thickBot="1">
      <c r="A11" s="8" t="s">
        <v>26</v>
      </c>
      <c r="B11" s="9" t="s">
        <v>26</v>
      </c>
      <c r="C11" s="9" t="s">
        <v>26</v>
      </c>
      <c r="D11" s="10" t="s">
        <v>27</v>
      </c>
      <c r="E11" s="9" t="s">
        <v>26</v>
      </c>
      <c r="F11" s="9" t="s">
        <v>26</v>
      </c>
      <c r="G11" s="11" t="s">
        <v>28</v>
      </c>
      <c r="H11" s="13"/>
      <c r="I11" s="14" t="s">
        <v>29</v>
      </c>
      <c r="J11" s="12" t="s">
        <v>24</v>
      </c>
      <c r="K11" s="14" t="s">
        <v>29</v>
      </c>
      <c r="L11" s="7"/>
      <c r="N11" s="15" t="s">
        <v>30</v>
      </c>
      <c r="O11" s="15" t="s">
        <v>31</v>
      </c>
      <c r="P11" s="15" t="s">
        <v>32</v>
      </c>
      <c r="Q11" s="15" t="s">
        <v>33</v>
      </c>
      <c r="R11" s="15" t="s">
        <v>34</v>
      </c>
      <c r="S11" s="15" t="s">
        <v>35</v>
      </c>
      <c r="T11" s="15" t="s">
        <v>36</v>
      </c>
      <c r="U11" s="15" t="s">
        <v>37</v>
      </c>
      <c r="V11" s="15" t="s">
        <v>38</v>
      </c>
    </row>
    <row r="12" spans="1:35" ht="12.75">
      <c r="A12" s="16"/>
      <c r="B12" s="17"/>
      <c r="C12" s="17" t="s">
        <v>39</v>
      </c>
      <c r="D12" s="63" t="s">
        <v>40</v>
      </c>
      <c r="E12" s="63"/>
      <c r="F12" s="63"/>
      <c r="G12" s="63"/>
      <c r="H12" s="18"/>
      <c r="I12" s="18"/>
      <c r="J12" s="19"/>
      <c r="K12" s="18">
        <f>SUM(K13:K32)</f>
        <v>129.7621</v>
      </c>
      <c r="N12" s="20">
        <f>IF(O12="PR",I12,SUM(M13:M32))</f>
        <v>0</v>
      </c>
      <c r="O12" s="15" t="s">
        <v>41</v>
      </c>
      <c r="P12" s="20" t="e">
        <f>IF(O12="HS",#REF!,0)</f>
        <v>#REF!</v>
      </c>
      <c r="Q12" s="20">
        <f>IF(O12="HS",H12-N12,0)</f>
        <v>0</v>
      </c>
      <c r="R12" s="20">
        <f>IF(O12="PS",#REF!,0)</f>
        <v>0</v>
      </c>
      <c r="S12" s="20">
        <f>IF(O12="PS",H12-N12,0)</f>
        <v>0</v>
      </c>
      <c r="T12" s="20">
        <f>IF(O12="MP",#REF!,0)</f>
        <v>0</v>
      </c>
      <c r="U12" s="20">
        <f>IF(O12="MP",H12-N12,0)</f>
        <v>0</v>
      </c>
      <c r="V12" s="20">
        <f>IF(O12="OM",#REF!,0)</f>
        <v>0</v>
      </c>
      <c r="W12" s="15"/>
      <c r="AG12" s="20">
        <f>SUM(X13:X32)</f>
        <v>0</v>
      </c>
      <c r="AH12" s="20">
        <f>SUM(Y13:Y32)</f>
        <v>0</v>
      </c>
      <c r="AI12" s="20">
        <f>SUM(Z13:Z32)</f>
        <v>0</v>
      </c>
    </row>
    <row r="13" spans="1:41" ht="12.75">
      <c r="A13" s="2" t="s">
        <v>42</v>
      </c>
      <c r="B13" s="2"/>
      <c r="C13" s="2" t="s">
        <v>43</v>
      </c>
      <c r="D13" s="2" t="s">
        <v>44</v>
      </c>
      <c r="E13" s="2" t="s">
        <v>45</v>
      </c>
      <c r="F13" s="21">
        <v>129.76</v>
      </c>
      <c r="G13" s="41">
        <v>0</v>
      </c>
      <c r="H13" s="21"/>
      <c r="I13" s="21">
        <f>F13*G13</f>
        <v>0</v>
      </c>
      <c r="J13" s="21">
        <v>0</v>
      </c>
      <c r="K13" s="21">
        <f aca="true" t="shared" si="0" ref="K13:K32">F13*J13</f>
        <v>0</v>
      </c>
      <c r="L13" s="22" t="s">
        <v>46</v>
      </c>
      <c r="M13" s="21">
        <f aca="true" t="shared" si="1" ref="M13:M32">IF(L13="5",H13,0)</f>
        <v>0</v>
      </c>
      <c r="X13" s="21">
        <f aca="true" t="shared" si="2" ref="X13:X32">IF(AB13=0,I13,0)</f>
        <v>0</v>
      </c>
      <c r="Y13" s="21">
        <f aca="true" t="shared" si="3" ref="Y13:Y32">IF(AB13=15,I13,0)</f>
        <v>0</v>
      </c>
      <c r="Z13" s="21">
        <f aca="true" t="shared" si="4" ref="Z13:Z32">IF(AB13=21,I13,0)</f>
        <v>0</v>
      </c>
      <c r="AB13" s="21">
        <v>21</v>
      </c>
      <c r="AC13" s="21">
        <f aca="true" t="shared" si="5" ref="AC13:AC21">G13*0</f>
        <v>0</v>
      </c>
      <c r="AD13" s="21">
        <f aca="true" t="shared" si="6" ref="AD13:AD21">G13*(1-0)</f>
        <v>0</v>
      </c>
      <c r="AK13" s="21">
        <f aca="true" t="shared" si="7" ref="AK13:AK32">F13*AC13</f>
        <v>0</v>
      </c>
      <c r="AL13" s="21">
        <f aca="true" t="shared" si="8" ref="AL13:AL32">F13*AD13</f>
        <v>0</v>
      </c>
      <c r="AM13" s="22" t="s">
        <v>47</v>
      </c>
      <c r="AN13" s="22" t="s">
        <v>48</v>
      </c>
      <c r="AO13" s="15" t="s">
        <v>49</v>
      </c>
    </row>
    <row r="14" spans="1:41" ht="12.75">
      <c r="A14" s="2" t="s">
        <v>50</v>
      </c>
      <c r="B14" s="2"/>
      <c r="C14" s="2" t="s">
        <v>51</v>
      </c>
      <c r="D14" s="2" t="s">
        <v>52</v>
      </c>
      <c r="E14" s="2" t="s">
        <v>45</v>
      </c>
      <c r="F14" s="21">
        <v>129.76</v>
      </c>
      <c r="G14" s="41">
        <v>0</v>
      </c>
      <c r="H14" s="21"/>
      <c r="I14" s="21">
        <f aca="true" t="shared" si="9" ref="I14:I34">F14*G14</f>
        <v>0</v>
      </c>
      <c r="J14" s="21">
        <v>0</v>
      </c>
      <c r="K14" s="21">
        <f t="shared" si="0"/>
        <v>0</v>
      </c>
      <c r="L14" s="22" t="s">
        <v>46</v>
      </c>
      <c r="M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B14" s="21">
        <v>21</v>
      </c>
      <c r="AC14" s="21">
        <f t="shared" si="5"/>
        <v>0</v>
      </c>
      <c r="AD14" s="21">
        <f t="shared" si="6"/>
        <v>0</v>
      </c>
      <c r="AK14" s="21">
        <f t="shared" si="7"/>
        <v>0</v>
      </c>
      <c r="AL14" s="21">
        <f t="shared" si="8"/>
        <v>0</v>
      </c>
      <c r="AM14" s="22" t="s">
        <v>47</v>
      </c>
      <c r="AN14" s="22" t="s">
        <v>48</v>
      </c>
      <c r="AO14" s="15" t="s">
        <v>49</v>
      </c>
    </row>
    <row r="15" spans="1:41" ht="12.75">
      <c r="A15" s="2" t="s">
        <v>53</v>
      </c>
      <c r="B15" s="2"/>
      <c r="C15" s="2" t="s">
        <v>54</v>
      </c>
      <c r="D15" s="2" t="s">
        <v>55</v>
      </c>
      <c r="E15" s="2" t="s">
        <v>45</v>
      </c>
      <c r="F15" s="21">
        <v>129.76</v>
      </c>
      <c r="G15" s="41">
        <v>0</v>
      </c>
      <c r="H15" s="21"/>
      <c r="I15" s="21">
        <f t="shared" si="9"/>
        <v>0</v>
      </c>
      <c r="J15" s="21">
        <v>0</v>
      </c>
      <c r="K15" s="21">
        <f t="shared" si="0"/>
        <v>0</v>
      </c>
      <c r="L15" s="22" t="s">
        <v>46</v>
      </c>
      <c r="M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B15" s="21">
        <v>21</v>
      </c>
      <c r="AC15" s="21">
        <f t="shared" si="5"/>
        <v>0</v>
      </c>
      <c r="AD15" s="21">
        <f t="shared" si="6"/>
        <v>0</v>
      </c>
      <c r="AK15" s="21">
        <f t="shared" si="7"/>
        <v>0</v>
      </c>
      <c r="AL15" s="21">
        <f t="shared" si="8"/>
        <v>0</v>
      </c>
      <c r="AM15" s="22" t="s">
        <v>47</v>
      </c>
      <c r="AN15" s="22" t="s">
        <v>48</v>
      </c>
      <c r="AO15" s="15" t="s">
        <v>49</v>
      </c>
    </row>
    <row r="16" spans="1:41" ht="12.75">
      <c r="A16" s="2" t="s">
        <v>56</v>
      </c>
      <c r="B16" s="2"/>
      <c r="C16" s="2" t="s">
        <v>57</v>
      </c>
      <c r="D16" s="2" t="s">
        <v>58</v>
      </c>
      <c r="E16" s="2" t="s">
        <v>59</v>
      </c>
      <c r="F16" s="21">
        <v>3</v>
      </c>
      <c r="G16" s="41">
        <v>0</v>
      </c>
      <c r="H16" s="21"/>
      <c r="I16" s="21">
        <f t="shared" si="9"/>
        <v>0</v>
      </c>
      <c r="J16" s="21">
        <v>0</v>
      </c>
      <c r="K16" s="21">
        <f t="shared" si="0"/>
        <v>0</v>
      </c>
      <c r="L16" s="22" t="s">
        <v>42</v>
      </c>
      <c r="M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B16" s="21">
        <v>21</v>
      </c>
      <c r="AC16" s="21">
        <f t="shared" si="5"/>
        <v>0</v>
      </c>
      <c r="AD16" s="21">
        <f t="shared" si="6"/>
        <v>0</v>
      </c>
      <c r="AK16" s="21">
        <f t="shared" si="7"/>
        <v>0</v>
      </c>
      <c r="AL16" s="21">
        <f t="shared" si="8"/>
        <v>0</v>
      </c>
      <c r="AM16" s="22" t="s">
        <v>47</v>
      </c>
      <c r="AN16" s="22" t="s">
        <v>48</v>
      </c>
      <c r="AO16" s="15" t="s">
        <v>49</v>
      </c>
    </row>
    <row r="17" spans="1:41" ht="12.75">
      <c r="A17" s="2" t="s">
        <v>46</v>
      </c>
      <c r="B17" s="2"/>
      <c r="C17" s="2" t="s">
        <v>60</v>
      </c>
      <c r="D17" s="2" t="s">
        <v>61</v>
      </c>
      <c r="E17" s="2" t="s">
        <v>62</v>
      </c>
      <c r="F17" s="21">
        <v>38.48</v>
      </c>
      <c r="G17" s="41">
        <v>0</v>
      </c>
      <c r="H17" s="21"/>
      <c r="I17" s="21">
        <f t="shared" si="9"/>
        <v>0</v>
      </c>
      <c r="J17" s="21">
        <v>0.316</v>
      </c>
      <c r="K17" s="21">
        <f t="shared" si="0"/>
        <v>12.15968</v>
      </c>
      <c r="L17" s="22" t="s">
        <v>42</v>
      </c>
      <c r="M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B17" s="21">
        <v>21</v>
      </c>
      <c r="AC17" s="21">
        <f t="shared" si="5"/>
        <v>0</v>
      </c>
      <c r="AD17" s="21">
        <f t="shared" si="6"/>
        <v>0</v>
      </c>
      <c r="AK17" s="21">
        <f t="shared" si="7"/>
        <v>0</v>
      </c>
      <c r="AL17" s="21">
        <f t="shared" si="8"/>
        <v>0</v>
      </c>
      <c r="AM17" s="22" t="s">
        <v>47</v>
      </c>
      <c r="AN17" s="22" t="s">
        <v>48</v>
      </c>
      <c r="AO17" s="15" t="s">
        <v>49</v>
      </c>
    </row>
    <row r="18" spans="1:41" ht="12.75">
      <c r="A18" s="2" t="s">
        <v>63</v>
      </c>
      <c r="B18" s="2"/>
      <c r="C18" s="2" t="s">
        <v>64</v>
      </c>
      <c r="D18" s="2" t="s">
        <v>65</v>
      </c>
      <c r="E18" s="2" t="s">
        <v>62</v>
      </c>
      <c r="F18" s="21">
        <v>55.39</v>
      </c>
      <c r="G18" s="41">
        <v>0</v>
      </c>
      <c r="H18" s="21"/>
      <c r="I18" s="21">
        <f t="shared" si="9"/>
        <v>0</v>
      </c>
      <c r="J18" s="21">
        <v>0.098</v>
      </c>
      <c r="K18" s="21">
        <f t="shared" si="0"/>
        <v>5.4282200000000005</v>
      </c>
      <c r="L18" s="22" t="s">
        <v>42</v>
      </c>
      <c r="M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B18" s="21">
        <v>21</v>
      </c>
      <c r="AC18" s="21">
        <f t="shared" si="5"/>
        <v>0</v>
      </c>
      <c r="AD18" s="21">
        <f t="shared" si="6"/>
        <v>0</v>
      </c>
      <c r="AK18" s="21">
        <f t="shared" si="7"/>
        <v>0</v>
      </c>
      <c r="AL18" s="21">
        <f t="shared" si="8"/>
        <v>0</v>
      </c>
      <c r="AM18" s="22" t="s">
        <v>47</v>
      </c>
      <c r="AN18" s="22" t="s">
        <v>48</v>
      </c>
      <c r="AO18" s="15" t="s">
        <v>49</v>
      </c>
    </row>
    <row r="19" spans="1:41" ht="12.75">
      <c r="A19" s="2" t="s">
        <v>66</v>
      </c>
      <c r="B19" s="2"/>
      <c r="C19" s="2" t="s">
        <v>67</v>
      </c>
      <c r="D19" s="2" t="s">
        <v>68</v>
      </c>
      <c r="E19" s="2" t="s">
        <v>62</v>
      </c>
      <c r="F19" s="21">
        <v>55.39</v>
      </c>
      <c r="G19" s="41">
        <v>0</v>
      </c>
      <c r="H19" s="21"/>
      <c r="I19" s="21">
        <f t="shared" si="9"/>
        <v>0</v>
      </c>
      <c r="J19" s="21">
        <v>0</v>
      </c>
      <c r="K19" s="21">
        <f t="shared" si="0"/>
        <v>0</v>
      </c>
      <c r="L19" s="22" t="s">
        <v>42</v>
      </c>
      <c r="M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B19" s="21">
        <v>21</v>
      </c>
      <c r="AC19" s="21">
        <f t="shared" si="5"/>
        <v>0</v>
      </c>
      <c r="AD19" s="21">
        <f t="shared" si="6"/>
        <v>0</v>
      </c>
      <c r="AK19" s="21">
        <f t="shared" si="7"/>
        <v>0</v>
      </c>
      <c r="AL19" s="21">
        <f t="shared" si="8"/>
        <v>0</v>
      </c>
      <c r="AM19" s="22" t="s">
        <v>47</v>
      </c>
      <c r="AN19" s="22" t="s">
        <v>48</v>
      </c>
      <c r="AO19" s="15" t="s">
        <v>49</v>
      </c>
    </row>
    <row r="20" spans="1:41" ht="12.75">
      <c r="A20" s="2" t="s">
        <v>69</v>
      </c>
      <c r="B20" s="2"/>
      <c r="C20" s="2" t="s">
        <v>70</v>
      </c>
      <c r="D20" s="2" t="s">
        <v>71</v>
      </c>
      <c r="E20" s="2" t="s">
        <v>62</v>
      </c>
      <c r="F20" s="21">
        <v>39.96</v>
      </c>
      <c r="G20" s="41">
        <v>0</v>
      </c>
      <c r="H20" s="21"/>
      <c r="I20" s="21">
        <f t="shared" si="9"/>
        <v>0</v>
      </c>
      <c r="J20" s="21">
        <v>0</v>
      </c>
      <c r="K20" s="21">
        <f t="shared" si="0"/>
        <v>0</v>
      </c>
      <c r="L20" s="22" t="s">
        <v>42</v>
      </c>
      <c r="M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B20" s="21">
        <v>21</v>
      </c>
      <c r="AC20" s="21">
        <f t="shared" si="5"/>
        <v>0</v>
      </c>
      <c r="AD20" s="21">
        <f t="shared" si="6"/>
        <v>0</v>
      </c>
      <c r="AK20" s="21">
        <f t="shared" si="7"/>
        <v>0</v>
      </c>
      <c r="AL20" s="21">
        <f t="shared" si="8"/>
        <v>0</v>
      </c>
      <c r="AM20" s="22" t="s">
        <v>47</v>
      </c>
      <c r="AN20" s="22" t="s">
        <v>48</v>
      </c>
      <c r="AO20" s="15" t="s">
        <v>49</v>
      </c>
    </row>
    <row r="21" spans="1:41" ht="12.75">
      <c r="A21" s="2" t="s">
        <v>72</v>
      </c>
      <c r="B21" s="2"/>
      <c r="C21" s="2" t="s">
        <v>73</v>
      </c>
      <c r="D21" s="2" t="s">
        <v>74</v>
      </c>
      <c r="E21" s="2" t="s">
        <v>62</v>
      </c>
      <c r="F21" s="21">
        <v>38.18</v>
      </c>
      <c r="G21" s="41">
        <v>0</v>
      </c>
      <c r="H21" s="21"/>
      <c r="I21" s="21">
        <f t="shared" si="9"/>
        <v>0</v>
      </c>
      <c r="J21" s="21">
        <v>0</v>
      </c>
      <c r="K21" s="21">
        <f t="shared" si="0"/>
        <v>0</v>
      </c>
      <c r="L21" s="22" t="s">
        <v>42</v>
      </c>
      <c r="M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B21" s="21">
        <v>21</v>
      </c>
      <c r="AC21" s="21">
        <f t="shared" si="5"/>
        <v>0</v>
      </c>
      <c r="AD21" s="21">
        <f t="shared" si="6"/>
        <v>0</v>
      </c>
      <c r="AK21" s="21">
        <f t="shared" si="7"/>
        <v>0</v>
      </c>
      <c r="AL21" s="21">
        <f t="shared" si="8"/>
        <v>0</v>
      </c>
      <c r="AM21" s="22" t="s">
        <v>47</v>
      </c>
      <c r="AN21" s="22" t="s">
        <v>48</v>
      </c>
      <c r="AO21" s="15" t="s">
        <v>49</v>
      </c>
    </row>
    <row r="22" spans="1:41" ht="12.75">
      <c r="A22" s="2" t="s">
        <v>75</v>
      </c>
      <c r="B22" s="2"/>
      <c r="C22" s="2" t="s">
        <v>76</v>
      </c>
      <c r="D22" s="2" t="s">
        <v>77</v>
      </c>
      <c r="E22" s="2" t="s">
        <v>78</v>
      </c>
      <c r="F22" s="21">
        <v>18</v>
      </c>
      <c r="G22" s="41">
        <v>0</v>
      </c>
      <c r="H22" s="21"/>
      <c r="I22" s="21">
        <f t="shared" si="9"/>
        <v>0</v>
      </c>
      <c r="J22" s="21">
        <v>0.00869</v>
      </c>
      <c r="K22" s="21">
        <f t="shared" si="0"/>
        <v>0.15642</v>
      </c>
      <c r="L22" s="22" t="s">
        <v>42</v>
      </c>
      <c r="M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B22" s="21">
        <v>21</v>
      </c>
      <c r="AC22" s="21">
        <f>G22*0.374022556390977</f>
        <v>0</v>
      </c>
      <c r="AD22" s="21">
        <f>G22*(1-0.374022556390977)</f>
        <v>0</v>
      </c>
      <c r="AK22" s="21">
        <f t="shared" si="7"/>
        <v>0</v>
      </c>
      <c r="AL22" s="21">
        <f t="shared" si="8"/>
        <v>0</v>
      </c>
      <c r="AM22" s="22" t="s">
        <v>47</v>
      </c>
      <c r="AN22" s="22" t="s">
        <v>48</v>
      </c>
      <c r="AO22" s="15" t="s">
        <v>49</v>
      </c>
    </row>
    <row r="23" spans="1:41" ht="12.75">
      <c r="A23" s="2" t="s">
        <v>39</v>
      </c>
      <c r="B23" s="2"/>
      <c r="C23" s="2" t="s">
        <v>79</v>
      </c>
      <c r="D23" s="2" t="s">
        <v>80</v>
      </c>
      <c r="E23" s="2" t="s">
        <v>62</v>
      </c>
      <c r="F23" s="21">
        <v>48</v>
      </c>
      <c r="G23" s="41">
        <v>0</v>
      </c>
      <c r="H23" s="21"/>
      <c r="I23" s="21">
        <f t="shared" si="9"/>
        <v>0</v>
      </c>
      <c r="J23" s="21">
        <v>0</v>
      </c>
      <c r="K23" s="21">
        <f t="shared" si="0"/>
        <v>0</v>
      </c>
      <c r="L23" s="22" t="s">
        <v>42</v>
      </c>
      <c r="M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B23" s="21">
        <v>21</v>
      </c>
      <c r="AC23" s="21">
        <f aca="true" t="shared" si="10" ref="AC23:AC31">G23*0</f>
        <v>0</v>
      </c>
      <c r="AD23" s="21">
        <f aca="true" t="shared" si="11" ref="AD23:AD31">G23*(1-0)</f>
        <v>0</v>
      </c>
      <c r="AK23" s="21">
        <f t="shared" si="7"/>
        <v>0</v>
      </c>
      <c r="AL23" s="21">
        <f t="shared" si="8"/>
        <v>0</v>
      </c>
      <c r="AM23" s="22" t="s">
        <v>47</v>
      </c>
      <c r="AN23" s="22" t="s">
        <v>48</v>
      </c>
      <c r="AO23" s="15" t="s">
        <v>49</v>
      </c>
    </row>
    <row r="24" spans="1:41" ht="12.75">
      <c r="A24" s="2" t="s">
        <v>81</v>
      </c>
      <c r="B24" s="2"/>
      <c r="C24" s="2" t="s">
        <v>82</v>
      </c>
      <c r="D24" s="2" t="s">
        <v>83</v>
      </c>
      <c r="E24" s="2" t="s">
        <v>84</v>
      </c>
      <c r="F24" s="21">
        <v>68.4</v>
      </c>
      <c r="G24" s="41">
        <v>0</v>
      </c>
      <c r="H24" s="21"/>
      <c r="I24" s="21">
        <f t="shared" si="9"/>
        <v>0</v>
      </c>
      <c r="J24" s="21">
        <v>1.3</v>
      </c>
      <c r="K24" s="21">
        <f t="shared" si="0"/>
        <v>88.92000000000002</v>
      </c>
      <c r="L24" s="22" t="s">
        <v>42</v>
      </c>
      <c r="M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B24" s="21">
        <v>21</v>
      </c>
      <c r="AC24" s="21">
        <f t="shared" si="10"/>
        <v>0</v>
      </c>
      <c r="AD24" s="21">
        <f t="shared" si="11"/>
        <v>0</v>
      </c>
      <c r="AK24" s="21">
        <f t="shared" si="7"/>
        <v>0</v>
      </c>
      <c r="AL24" s="21">
        <f t="shared" si="8"/>
        <v>0</v>
      </c>
      <c r="AM24" s="22" t="s">
        <v>47</v>
      </c>
      <c r="AN24" s="22" t="s">
        <v>48</v>
      </c>
      <c r="AO24" s="15" t="s">
        <v>49</v>
      </c>
    </row>
    <row r="25" spans="1:41" ht="12.75">
      <c r="A25" s="2" t="s">
        <v>85</v>
      </c>
      <c r="B25" s="2"/>
      <c r="C25" s="2" t="s">
        <v>86</v>
      </c>
      <c r="D25" s="2" t="s">
        <v>87</v>
      </c>
      <c r="E25" s="2" t="s">
        <v>62</v>
      </c>
      <c r="F25" s="21">
        <v>55.39</v>
      </c>
      <c r="G25" s="41">
        <v>0</v>
      </c>
      <c r="H25" s="21"/>
      <c r="I25" s="21">
        <f t="shared" si="9"/>
        <v>0</v>
      </c>
      <c r="J25" s="21">
        <v>0</v>
      </c>
      <c r="K25" s="21">
        <f t="shared" si="0"/>
        <v>0</v>
      </c>
      <c r="L25" s="22" t="s">
        <v>42</v>
      </c>
      <c r="M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B25" s="21">
        <v>21</v>
      </c>
      <c r="AC25" s="21">
        <f t="shared" si="10"/>
        <v>0</v>
      </c>
      <c r="AD25" s="21">
        <f t="shared" si="11"/>
        <v>0</v>
      </c>
      <c r="AK25" s="21">
        <f t="shared" si="7"/>
        <v>0</v>
      </c>
      <c r="AL25" s="21">
        <f t="shared" si="8"/>
        <v>0</v>
      </c>
      <c r="AM25" s="22" t="s">
        <v>47</v>
      </c>
      <c r="AN25" s="22" t="s">
        <v>48</v>
      </c>
      <c r="AO25" s="15" t="s">
        <v>49</v>
      </c>
    </row>
    <row r="26" spans="1:41" ht="12.75">
      <c r="A26" s="2" t="s">
        <v>88</v>
      </c>
      <c r="B26" s="2"/>
      <c r="C26" s="2" t="s">
        <v>89</v>
      </c>
      <c r="D26" s="2" t="s">
        <v>90</v>
      </c>
      <c r="E26" s="2" t="s">
        <v>62</v>
      </c>
      <c r="F26" s="21">
        <v>55.39</v>
      </c>
      <c r="G26" s="41">
        <v>0</v>
      </c>
      <c r="H26" s="21"/>
      <c r="I26" s="21">
        <f t="shared" si="9"/>
        <v>0</v>
      </c>
      <c r="J26" s="21">
        <v>0.417</v>
      </c>
      <c r="K26" s="21">
        <f t="shared" si="0"/>
        <v>23.09763</v>
      </c>
      <c r="L26" s="22" t="s">
        <v>42</v>
      </c>
      <c r="M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B26" s="21">
        <v>21</v>
      </c>
      <c r="AC26" s="21">
        <f t="shared" si="10"/>
        <v>0</v>
      </c>
      <c r="AD26" s="21">
        <f t="shared" si="11"/>
        <v>0</v>
      </c>
      <c r="AK26" s="21">
        <f t="shared" si="7"/>
        <v>0</v>
      </c>
      <c r="AL26" s="21">
        <f t="shared" si="8"/>
        <v>0</v>
      </c>
      <c r="AM26" s="22" t="s">
        <v>47</v>
      </c>
      <c r="AN26" s="22" t="s">
        <v>48</v>
      </c>
      <c r="AO26" s="15" t="s">
        <v>49</v>
      </c>
    </row>
    <row r="27" spans="1:41" ht="12.75">
      <c r="A27" s="2" t="s">
        <v>91</v>
      </c>
      <c r="B27" s="2"/>
      <c r="C27" s="2" t="s">
        <v>92</v>
      </c>
      <c r="D27" s="2" t="s">
        <v>93</v>
      </c>
      <c r="E27" s="2" t="s">
        <v>84</v>
      </c>
      <c r="F27" s="21">
        <v>9.6</v>
      </c>
      <c r="G27" s="41">
        <v>0</v>
      </c>
      <c r="H27" s="21"/>
      <c r="I27" s="21">
        <f t="shared" si="9"/>
        <v>0</v>
      </c>
      <c r="J27" s="21">
        <v>0</v>
      </c>
      <c r="K27" s="21">
        <f t="shared" si="0"/>
        <v>0</v>
      </c>
      <c r="L27" s="22" t="s">
        <v>42</v>
      </c>
      <c r="M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B27" s="21">
        <v>21</v>
      </c>
      <c r="AC27" s="21">
        <f t="shared" si="10"/>
        <v>0</v>
      </c>
      <c r="AD27" s="21">
        <f t="shared" si="11"/>
        <v>0</v>
      </c>
      <c r="AK27" s="21">
        <f t="shared" si="7"/>
        <v>0</v>
      </c>
      <c r="AL27" s="21">
        <f t="shared" si="8"/>
        <v>0</v>
      </c>
      <c r="AM27" s="22" t="s">
        <v>47</v>
      </c>
      <c r="AN27" s="22" t="s">
        <v>48</v>
      </c>
      <c r="AO27" s="15" t="s">
        <v>49</v>
      </c>
    </row>
    <row r="28" spans="1:41" ht="12.75">
      <c r="A28" s="2" t="s">
        <v>94</v>
      </c>
      <c r="B28" s="2"/>
      <c r="C28" s="2" t="s">
        <v>95</v>
      </c>
      <c r="D28" s="2" t="s">
        <v>96</v>
      </c>
      <c r="E28" s="2" t="s">
        <v>45</v>
      </c>
      <c r="F28" s="21">
        <v>129.76195</v>
      </c>
      <c r="G28" s="41">
        <v>0</v>
      </c>
      <c r="H28" s="21"/>
      <c r="I28" s="21">
        <f t="shared" si="9"/>
        <v>0</v>
      </c>
      <c r="J28" s="21">
        <v>0</v>
      </c>
      <c r="K28" s="21">
        <f t="shared" si="0"/>
        <v>0</v>
      </c>
      <c r="L28" s="22" t="s">
        <v>46</v>
      </c>
      <c r="M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B28" s="21">
        <v>21</v>
      </c>
      <c r="AC28" s="21">
        <f t="shared" si="10"/>
        <v>0</v>
      </c>
      <c r="AD28" s="21">
        <f t="shared" si="11"/>
        <v>0</v>
      </c>
      <c r="AK28" s="21">
        <f t="shared" si="7"/>
        <v>0</v>
      </c>
      <c r="AL28" s="21">
        <f t="shared" si="8"/>
        <v>0</v>
      </c>
      <c r="AM28" s="22" t="s">
        <v>47</v>
      </c>
      <c r="AN28" s="22" t="s">
        <v>48</v>
      </c>
      <c r="AO28" s="15" t="s">
        <v>49</v>
      </c>
    </row>
    <row r="29" spans="1:41" ht="12.75">
      <c r="A29" s="2" t="s">
        <v>97</v>
      </c>
      <c r="B29" s="2"/>
      <c r="C29" s="2" t="s">
        <v>98</v>
      </c>
      <c r="D29" s="2" t="s">
        <v>99</v>
      </c>
      <c r="E29" s="2" t="s">
        <v>45</v>
      </c>
      <c r="F29" s="21">
        <v>778.56</v>
      </c>
      <c r="G29" s="41">
        <v>0</v>
      </c>
      <c r="H29" s="21"/>
      <c r="I29" s="21">
        <f t="shared" si="9"/>
        <v>0</v>
      </c>
      <c r="J29" s="21">
        <v>0</v>
      </c>
      <c r="K29" s="21">
        <f t="shared" si="0"/>
        <v>0</v>
      </c>
      <c r="L29" s="22" t="s">
        <v>46</v>
      </c>
      <c r="M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B29" s="21">
        <v>21</v>
      </c>
      <c r="AC29" s="21">
        <f t="shared" si="10"/>
        <v>0</v>
      </c>
      <c r="AD29" s="21">
        <f t="shared" si="11"/>
        <v>0</v>
      </c>
      <c r="AK29" s="21">
        <f t="shared" si="7"/>
        <v>0</v>
      </c>
      <c r="AL29" s="21">
        <f t="shared" si="8"/>
        <v>0</v>
      </c>
      <c r="AM29" s="22" t="s">
        <v>47</v>
      </c>
      <c r="AN29" s="22" t="s">
        <v>48</v>
      </c>
      <c r="AO29" s="15" t="s">
        <v>49</v>
      </c>
    </row>
    <row r="30" spans="1:41" ht="12.75">
      <c r="A30" s="2" t="s">
        <v>100</v>
      </c>
      <c r="B30" s="2"/>
      <c r="C30" s="2" t="s">
        <v>101</v>
      </c>
      <c r="D30" s="2" t="s">
        <v>102</v>
      </c>
      <c r="E30" s="2" t="s">
        <v>62</v>
      </c>
      <c r="F30" s="21">
        <v>57.6</v>
      </c>
      <c r="G30" s="41">
        <v>0</v>
      </c>
      <c r="H30" s="21"/>
      <c r="I30" s="21">
        <f t="shared" si="9"/>
        <v>0</v>
      </c>
      <c r="J30" s="21">
        <v>0</v>
      </c>
      <c r="K30" s="21">
        <f t="shared" si="0"/>
        <v>0</v>
      </c>
      <c r="L30" s="22" t="s">
        <v>42</v>
      </c>
      <c r="M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B30" s="21">
        <v>21</v>
      </c>
      <c r="AC30" s="21">
        <f t="shared" si="10"/>
        <v>0</v>
      </c>
      <c r="AD30" s="21">
        <f t="shared" si="11"/>
        <v>0</v>
      </c>
      <c r="AK30" s="21">
        <f t="shared" si="7"/>
        <v>0</v>
      </c>
      <c r="AL30" s="21">
        <f t="shared" si="8"/>
        <v>0</v>
      </c>
      <c r="AM30" s="22" t="s">
        <v>47</v>
      </c>
      <c r="AN30" s="22" t="s">
        <v>48</v>
      </c>
      <c r="AO30" s="15" t="s">
        <v>49</v>
      </c>
    </row>
    <row r="31" spans="1:41" ht="12.75">
      <c r="A31" s="2" t="s">
        <v>103</v>
      </c>
      <c r="B31" s="2"/>
      <c r="C31" s="2" t="s">
        <v>104</v>
      </c>
      <c r="D31" s="2" t="s">
        <v>105</v>
      </c>
      <c r="E31" s="2" t="s">
        <v>59</v>
      </c>
      <c r="F31" s="21">
        <v>3</v>
      </c>
      <c r="G31" s="41">
        <v>0</v>
      </c>
      <c r="H31" s="21"/>
      <c r="I31" s="21">
        <f t="shared" si="9"/>
        <v>0</v>
      </c>
      <c r="J31" s="21">
        <v>0</v>
      </c>
      <c r="K31" s="21">
        <f t="shared" si="0"/>
        <v>0</v>
      </c>
      <c r="L31" s="22" t="s">
        <v>42</v>
      </c>
      <c r="M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B31" s="21">
        <v>21</v>
      </c>
      <c r="AC31" s="21">
        <f t="shared" si="10"/>
        <v>0</v>
      </c>
      <c r="AD31" s="21">
        <f t="shared" si="11"/>
        <v>0</v>
      </c>
      <c r="AK31" s="21">
        <f t="shared" si="7"/>
        <v>0</v>
      </c>
      <c r="AL31" s="21">
        <f t="shared" si="8"/>
        <v>0</v>
      </c>
      <c r="AM31" s="22" t="s">
        <v>47</v>
      </c>
      <c r="AN31" s="22" t="s">
        <v>48</v>
      </c>
      <c r="AO31" s="15" t="s">
        <v>49</v>
      </c>
    </row>
    <row r="32" spans="1:41" ht="12.75">
      <c r="A32" s="2" t="s">
        <v>106</v>
      </c>
      <c r="B32" s="2"/>
      <c r="C32" s="2" t="s">
        <v>107</v>
      </c>
      <c r="D32" s="2" t="s">
        <v>108</v>
      </c>
      <c r="E32" s="2" t="s">
        <v>59</v>
      </c>
      <c r="F32" s="21">
        <v>3</v>
      </c>
      <c r="G32" s="41">
        <v>0</v>
      </c>
      <c r="H32" s="21"/>
      <c r="I32" s="21">
        <f t="shared" si="9"/>
        <v>0</v>
      </c>
      <c r="J32" s="21">
        <v>5E-05</v>
      </c>
      <c r="K32" s="21">
        <f t="shared" si="0"/>
        <v>0.00015000000000000001</v>
      </c>
      <c r="L32" s="22" t="s">
        <v>42</v>
      </c>
      <c r="M32" s="21">
        <f t="shared" si="1"/>
        <v>0</v>
      </c>
      <c r="X32" s="21">
        <f t="shared" si="2"/>
        <v>0</v>
      </c>
      <c r="Y32" s="21">
        <f t="shared" si="3"/>
        <v>0</v>
      </c>
      <c r="Z32" s="21">
        <f t="shared" si="4"/>
        <v>0</v>
      </c>
      <c r="AB32" s="21">
        <v>21</v>
      </c>
      <c r="AC32" s="21">
        <f>G32*0.00929245997676885</f>
        <v>0</v>
      </c>
      <c r="AD32" s="21">
        <f>G32*(1-0.00929245997676885)</f>
        <v>0</v>
      </c>
      <c r="AK32" s="21">
        <f t="shared" si="7"/>
        <v>0</v>
      </c>
      <c r="AL32" s="21">
        <f t="shared" si="8"/>
        <v>0</v>
      </c>
      <c r="AM32" s="22" t="s">
        <v>47</v>
      </c>
      <c r="AN32" s="22" t="s">
        <v>48</v>
      </c>
      <c r="AO32" s="15" t="s">
        <v>49</v>
      </c>
    </row>
    <row r="33" spans="1:35" ht="12.75">
      <c r="A33" s="23"/>
      <c r="B33" s="24"/>
      <c r="C33" s="24" t="s">
        <v>81</v>
      </c>
      <c r="D33" s="64" t="s">
        <v>109</v>
      </c>
      <c r="E33" s="64"/>
      <c r="F33" s="64"/>
      <c r="G33" s="64"/>
      <c r="H33" s="20"/>
      <c r="I33" s="20"/>
      <c r="J33" s="15"/>
      <c r="K33" s="20">
        <f>SUM(K34:K35)</f>
        <v>0</v>
      </c>
      <c r="N33" s="20">
        <f>IF(O33="PR",I33,SUM(M34:M35))</f>
        <v>0</v>
      </c>
      <c r="O33" s="15" t="s">
        <v>41</v>
      </c>
      <c r="P33" s="20" t="e">
        <f>IF(O33="HS",#REF!,0)</f>
        <v>#REF!</v>
      </c>
      <c r="Q33" s="20">
        <f>IF(O33="HS",H33-N33,0)</f>
        <v>0</v>
      </c>
      <c r="R33" s="20">
        <f>IF(O33="PS",#REF!,0)</f>
        <v>0</v>
      </c>
      <c r="S33" s="20">
        <f>IF(O33="PS",H33-N33,0)</f>
        <v>0</v>
      </c>
      <c r="T33" s="20">
        <f>IF(O33="MP",#REF!,0)</f>
        <v>0</v>
      </c>
      <c r="U33" s="20">
        <f>IF(O33="MP",H33-N33,0)</f>
        <v>0</v>
      </c>
      <c r="V33" s="20">
        <f>IF(O33="OM",#REF!,0)</f>
        <v>0</v>
      </c>
      <c r="W33" s="15"/>
      <c r="AG33" s="20">
        <f>SUM(X34:X35)</f>
        <v>0</v>
      </c>
      <c r="AH33" s="20">
        <f>SUM(Y34:Y35)</f>
        <v>0</v>
      </c>
      <c r="AI33" s="20">
        <f>SUM(Z34:Z35)</f>
        <v>0</v>
      </c>
    </row>
    <row r="34" spans="1:41" ht="12.75">
      <c r="A34" s="2" t="s">
        <v>110</v>
      </c>
      <c r="B34" s="2"/>
      <c r="C34" s="2" t="s">
        <v>111</v>
      </c>
      <c r="D34" s="2" t="s">
        <v>112</v>
      </c>
      <c r="E34" s="2" t="s">
        <v>84</v>
      </c>
      <c r="F34" s="21">
        <v>8</v>
      </c>
      <c r="G34" s="41">
        <v>0</v>
      </c>
      <c r="H34" s="21"/>
      <c r="I34" s="21">
        <f t="shared" si="9"/>
        <v>0</v>
      </c>
      <c r="J34" s="21">
        <v>0</v>
      </c>
      <c r="K34" s="21">
        <f>F34*J34</f>
        <v>0</v>
      </c>
      <c r="L34" s="22" t="s">
        <v>42</v>
      </c>
      <c r="M34" s="21">
        <f>IF(L34="5",H34,0)</f>
        <v>0</v>
      </c>
      <c r="X34" s="21">
        <f>IF(AB34=0,I34,0)</f>
        <v>0</v>
      </c>
      <c r="Y34" s="21">
        <f>IF(AB34=15,I34,0)</f>
        <v>0</v>
      </c>
      <c r="Z34" s="21">
        <f>IF(AB34=21,I34,0)</f>
        <v>0</v>
      </c>
      <c r="AB34" s="21">
        <v>21</v>
      </c>
      <c r="AC34" s="21">
        <f>G34*0</f>
        <v>0</v>
      </c>
      <c r="AD34" s="21">
        <f>G34*(1-0)</f>
        <v>0</v>
      </c>
      <c r="AK34" s="21">
        <f>F34*AC34</f>
        <v>0</v>
      </c>
      <c r="AL34" s="21">
        <f>F34*AD34</f>
        <v>0</v>
      </c>
      <c r="AM34" s="22" t="s">
        <v>113</v>
      </c>
      <c r="AN34" s="22" t="s">
        <v>48</v>
      </c>
      <c r="AO34" s="15" t="s">
        <v>49</v>
      </c>
    </row>
    <row r="35" spans="1:41" ht="12.75">
      <c r="A35" s="2" t="s">
        <v>114</v>
      </c>
      <c r="B35" s="2"/>
      <c r="C35" s="2" t="s">
        <v>115</v>
      </c>
      <c r="D35" s="2" t="s">
        <v>116</v>
      </c>
      <c r="E35" s="2" t="s">
        <v>84</v>
      </c>
      <c r="F35" s="21">
        <v>22.5</v>
      </c>
      <c r="G35" s="41">
        <v>0</v>
      </c>
      <c r="H35" s="21"/>
      <c r="I35" s="21">
        <f aca="true" t="shared" si="12" ref="I35">F35*G35</f>
        <v>0</v>
      </c>
      <c r="J35" s="21">
        <v>0</v>
      </c>
      <c r="K35" s="21">
        <f>F35*J35</f>
        <v>0</v>
      </c>
      <c r="L35" s="22" t="s">
        <v>42</v>
      </c>
      <c r="M35" s="21">
        <f>IF(L35="5",H35,0)</f>
        <v>0</v>
      </c>
      <c r="X35" s="21">
        <f>IF(AB35=0,I35,0)</f>
        <v>0</v>
      </c>
      <c r="Y35" s="21">
        <f>IF(AB35=15,I35,0)</f>
        <v>0</v>
      </c>
      <c r="Z35" s="21">
        <f>IF(AB35=21,I35,0)</f>
        <v>0</v>
      </c>
      <c r="AB35" s="21">
        <v>21</v>
      </c>
      <c r="AC35" s="21">
        <f>G35*0</f>
        <v>0</v>
      </c>
      <c r="AD35" s="21">
        <f>G35*(1-0)</f>
        <v>0</v>
      </c>
      <c r="AK35" s="21">
        <f>F35*AC35</f>
        <v>0</v>
      </c>
      <c r="AL35" s="21">
        <f>F35*AD35</f>
        <v>0</v>
      </c>
      <c r="AM35" s="22" t="s">
        <v>113</v>
      </c>
      <c r="AN35" s="22" t="s">
        <v>48</v>
      </c>
      <c r="AO35" s="15" t="s">
        <v>49</v>
      </c>
    </row>
    <row r="36" spans="1:35" ht="12.75">
      <c r="A36" s="23"/>
      <c r="B36" s="24"/>
      <c r="C36" s="24" t="s">
        <v>85</v>
      </c>
      <c r="D36" s="64" t="s">
        <v>117</v>
      </c>
      <c r="E36" s="64"/>
      <c r="F36" s="64"/>
      <c r="G36" s="64"/>
      <c r="H36" s="20"/>
      <c r="I36" s="20"/>
      <c r="J36" s="15"/>
      <c r="K36" s="20">
        <f>SUM(K37:K37)</f>
        <v>0</v>
      </c>
      <c r="N36" s="20">
        <f>IF(O36="PR",I36,SUM(M37:M37))</f>
        <v>0</v>
      </c>
      <c r="O36" s="15" t="s">
        <v>41</v>
      </c>
      <c r="P36" s="20" t="e">
        <f>IF(O36="HS",#REF!,0)</f>
        <v>#REF!</v>
      </c>
      <c r="Q36" s="20">
        <f>IF(O36="HS",H36-N36,0)</f>
        <v>0</v>
      </c>
      <c r="R36" s="20">
        <f>IF(O36="PS",#REF!,0)</f>
        <v>0</v>
      </c>
      <c r="S36" s="20">
        <f>IF(O36="PS",H36-N36,0)</f>
        <v>0</v>
      </c>
      <c r="T36" s="20">
        <f>IF(O36="MP",#REF!,0)</f>
        <v>0</v>
      </c>
      <c r="U36" s="20">
        <f>IF(O36="MP",H36-N36,0)</f>
        <v>0</v>
      </c>
      <c r="V36" s="20">
        <f>IF(O36="OM",#REF!,0)</f>
        <v>0</v>
      </c>
      <c r="W36" s="15"/>
      <c r="AG36" s="20">
        <f>SUM(X37:X37)</f>
        <v>0</v>
      </c>
      <c r="AH36" s="20">
        <f>SUM(Y37:Y37)</f>
        <v>0</v>
      </c>
      <c r="AI36" s="20">
        <f>SUM(Z37:Z37)</f>
        <v>0</v>
      </c>
    </row>
    <row r="37" spans="1:41" ht="12.75">
      <c r="A37" s="2" t="s">
        <v>118</v>
      </c>
      <c r="B37" s="2"/>
      <c r="C37" s="2" t="s">
        <v>119</v>
      </c>
      <c r="D37" s="2" t="s">
        <v>120</v>
      </c>
      <c r="E37" s="2" t="s">
        <v>84</v>
      </c>
      <c r="F37" s="21">
        <v>7</v>
      </c>
      <c r="G37" s="41">
        <v>0</v>
      </c>
      <c r="H37" s="21"/>
      <c r="I37" s="21">
        <f aca="true" t="shared" si="13" ref="I37:I39">F37*G37</f>
        <v>0</v>
      </c>
      <c r="J37" s="21">
        <v>0</v>
      </c>
      <c r="K37" s="21">
        <f>F37*J37</f>
        <v>0</v>
      </c>
      <c r="L37" s="22" t="s">
        <v>42</v>
      </c>
      <c r="M37" s="21">
        <f>IF(L37="5",H37,0)</f>
        <v>0</v>
      </c>
      <c r="X37" s="21">
        <f>IF(AB37=0,I37,0)</f>
        <v>0</v>
      </c>
      <c r="Y37" s="21">
        <f>IF(AB37=15,I37,0)</f>
        <v>0</v>
      </c>
      <c r="Z37" s="21">
        <f>IF(AB37=21,I37,0)</f>
        <v>0</v>
      </c>
      <c r="AB37" s="21">
        <v>21</v>
      </c>
      <c r="AC37" s="21">
        <f>G37*0</f>
        <v>0</v>
      </c>
      <c r="AD37" s="21">
        <f>G37*(1-0)</f>
        <v>0</v>
      </c>
      <c r="AK37" s="21">
        <f>F37*AC37</f>
        <v>0</v>
      </c>
      <c r="AL37" s="21">
        <f>F37*AD37</f>
        <v>0</v>
      </c>
      <c r="AM37" s="22" t="s">
        <v>121</v>
      </c>
      <c r="AN37" s="22" t="s">
        <v>48</v>
      </c>
      <c r="AO37" s="15" t="s">
        <v>49</v>
      </c>
    </row>
    <row r="38" spans="1:35" ht="12.75">
      <c r="A38" s="23"/>
      <c r="B38" s="24"/>
      <c r="C38" s="24" t="s">
        <v>97</v>
      </c>
      <c r="D38" s="64" t="s">
        <v>122</v>
      </c>
      <c r="E38" s="64"/>
      <c r="F38" s="64"/>
      <c r="G38" s="64"/>
      <c r="H38" s="20"/>
      <c r="I38" s="20"/>
      <c r="J38" s="15"/>
      <c r="K38" s="20">
        <f>SUM(K39:K42)</f>
        <v>0</v>
      </c>
      <c r="N38" s="20">
        <f>IF(O38="PR",I38,SUM(M39:M42))</f>
        <v>0</v>
      </c>
      <c r="O38" s="15" t="s">
        <v>41</v>
      </c>
      <c r="P38" s="20" t="e">
        <f>IF(O38="HS",#REF!,0)</f>
        <v>#REF!</v>
      </c>
      <c r="Q38" s="20">
        <f>IF(O38="HS",H38-N38,0)</f>
        <v>0</v>
      </c>
      <c r="R38" s="20">
        <f>IF(O38="PS",#REF!,0)</f>
        <v>0</v>
      </c>
      <c r="S38" s="20">
        <f>IF(O38="PS",H38-N38,0)</f>
        <v>0</v>
      </c>
      <c r="T38" s="20">
        <f>IF(O38="MP",#REF!,0)</f>
        <v>0</v>
      </c>
      <c r="U38" s="20">
        <f>IF(O38="MP",H38-N38,0)</f>
        <v>0</v>
      </c>
      <c r="V38" s="20">
        <f>IF(O38="OM",#REF!,0)</f>
        <v>0</v>
      </c>
      <c r="W38" s="15"/>
      <c r="AG38" s="20">
        <f>SUM(X39:X42)</f>
        <v>0</v>
      </c>
      <c r="AH38" s="20">
        <f>SUM(Y39:Y42)</f>
        <v>0</v>
      </c>
      <c r="AI38" s="20">
        <f>SUM(Z39:Z42)</f>
        <v>0</v>
      </c>
    </row>
    <row r="39" spans="1:41" ht="12.75">
      <c r="A39" s="2" t="s">
        <v>123</v>
      </c>
      <c r="B39" s="2"/>
      <c r="C39" s="2" t="s">
        <v>124</v>
      </c>
      <c r="D39" s="2" t="s">
        <v>125</v>
      </c>
      <c r="E39" s="2" t="s">
        <v>59</v>
      </c>
      <c r="F39" s="21">
        <v>3</v>
      </c>
      <c r="G39" s="41">
        <v>0</v>
      </c>
      <c r="H39" s="21"/>
      <c r="I39" s="21">
        <f t="shared" si="13"/>
        <v>0</v>
      </c>
      <c r="J39" s="21">
        <v>0</v>
      </c>
      <c r="K39" s="21">
        <f>F39*J39</f>
        <v>0</v>
      </c>
      <c r="L39" s="22" t="s">
        <v>42</v>
      </c>
      <c r="M39" s="21">
        <f>IF(L39="5",H39,0)</f>
        <v>0</v>
      </c>
      <c r="X39" s="21">
        <f>IF(AB39=0,I39,0)</f>
        <v>0</v>
      </c>
      <c r="Y39" s="21">
        <f>IF(AB39=15,I39,0)</f>
        <v>0</v>
      </c>
      <c r="Z39" s="21">
        <f>IF(AB39=21,I39,0)</f>
        <v>0</v>
      </c>
      <c r="AB39" s="21">
        <v>21</v>
      </c>
      <c r="AC39" s="21">
        <f>G39*0</f>
        <v>0</v>
      </c>
      <c r="AD39" s="21">
        <f>G39*(1-0)</f>
        <v>0</v>
      </c>
      <c r="AK39" s="21">
        <f>F39*AC39</f>
        <v>0</v>
      </c>
      <c r="AL39" s="21">
        <f>F39*AD39</f>
        <v>0</v>
      </c>
      <c r="AM39" s="22" t="s">
        <v>126</v>
      </c>
      <c r="AN39" s="22" t="s">
        <v>48</v>
      </c>
      <c r="AO39" s="15" t="s">
        <v>49</v>
      </c>
    </row>
    <row r="40" spans="1:41" ht="12.75">
      <c r="A40" s="2" t="s">
        <v>127</v>
      </c>
      <c r="B40" s="2"/>
      <c r="C40" s="2" t="s">
        <v>128</v>
      </c>
      <c r="D40" s="2" t="s">
        <v>129</v>
      </c>
      <c r="E40" s="2" t="s">
        <v>84</v>
      </c>
      <c r="F40" s="21">
        <v>25.92</v>
      </c>
      <c r="G40" s="41">
        <v>0</v>
      </c>
      <c r="H40" s="21"/>
      <c r="I40" s="21">
        <f aca="true" t="shared" si="14" ref="I40:I44">F40*G40</f>
        <v>0</v>
      </c>
      <c r="J40" s="21">
        <v>0</v>
      </c>
      <c r="K40" s="21">
        <f>F40*J40</f>
        <v>0</v>
      </c>
      <c r="L40" s="22" t="s">
        <v>42</v>
      </c>
      <c r="M40" s="21">
        <f>IF(L40="5",H40,0)</f>
        <v>0</v>
      </c>
      <c r="X40" s="21">
        <f>IF(AB40=0,I40,0)</f>
        <v>0</v>
      </c>
      <c r="Y40" s="21">
        <f>IF(AB40=15,I40,0)</f>
        <v>0</v>
      </c>
      <c r="Z40" s="21">
        <f>IF(AB40=21,I40,0)</f>
        <v>0</v>
      </c>
      <c r="AB40" s="21">
        <v>21</v>
      </c>
      <c r="AC40" s="21">
        <f>G40*0</f>
        <v>0</v>
      </c>
      <c r="AD40" s="21">
        <f>G40*(1-0)</f>
        <v>0</v>
      </c>
      <c r="AK40" s="21">
        <f>F40*AC40</f>
        <v>0</v>
      </c>
      <c r="AL40" s="21">
        <f>F40*AD40</f>
        <v>0</v>
      </c>
      <c r="AM40" s="22" t="s">
        <v>126</v>
      </c>
      <c r="AN40" s="22" t="s">
        <v>48</v>
      </c>
      <c r="AO40" s="15" t="s">
        <v>49</v>
      </c>
    </row>
    <row r="41" spans="1:41" ht="12.75">
      <c r="A41" s="2" t="s">
        <v>130</v>
      </c>
      <c r="B41" s="2"/>
      <c r="C41" s="2" t="s">
        <v>131</v>
      </c>
      <c r="D41" s="2" t="s">
        <v>132</v>
      </c>
      <c r="E41" s="2" t="s">
        <v>84</v>
      </c>
      <c r="F41" s="21">
        <v>8.64</v>
      </c>
      <c r="G41" s="41">
        <v>0</v>
      </c>
      <c r="H41" s="21"/>
      <c r="I41" s="21">
        <f t="shared" si="14"/>
        <v>0</v>
      </c>
      <c r="J41" s="21">
        <v>0</v>
      </c>
      <c r="K41" s="21">
        <f>F41*J41</f>
        <v>0</v>
      </c>
      <c r="L41" s="22" t="s">
        <v>42</v>
      </c>
      <c r="M41" s="21">
        <f>IF(L41="5",H41,0)</f>
        <v>0</v>
      </c>
      <c r="X41" s="21">
        <f>IF(AB41=0,I41,0)</f>
        <v>0</v>
      </c>
      <c r="Y41" s="21">
        <f>IF(AB41=15,I41,0)</f>
        <v>0</v>
      </c>
      <c r="Z41" s="21">
        <f>IF(AB41=21,I41,0)</f>
        <v>0</v>
      </c>
      <c r="AB41" s="21">
        <v>21</v>
      </c>
      <c r="AC41" s="21">
        <f>G41*0</f>
        <v>0</v>
      </c>
      <c r="AD41" s="21">
        <f>G41*(1-0)</f>
        <v>0</v>
      </c>
      <c r="AK41" s="21">
        <f>F41*AC41</f>
        <v>0</v>
      </c>
      <c r="AL41" s="21">
        <f>F41*AD41</f>
        <v>0</v>
      </c>
      <c r="AM41" s="22" t="s">
        <v>126</v>
      </c>
      <c r="AN41" s="22" t="s">
        <v>48</v>
      </c>
      <c r="AO41" s="15" t="s">
        <v>49</v>
      </c>
    </row>
    <row r="42" spans="1:41" ht="12.75">
      <c r="A42" s="2" t="s">
        <v>133</v>
      </c>
      <c r="B42" s="2"/>
      <c r="C42" s="2" t="s">
        <v>128</v>
      </c>
      <c r="D42" s="2" t="s">
        <v>129</v>
      </c>
      <c r="E42" s="2" t="s">
        <v>84</v>
      </c>
      <c r="F42" s="21">
        <v>7</v>
      </c>
      <c r="G42" s="41">
        <v>0</v>
      </c>
      <c r="H42" s="21"/>
      <c r="I42" s="21">
        <f t="shared" si="14"/>
        <v>0</v>
      </c>
      <c r="J42" s="21">
        <v>0</v>
      </c>
      <c r="K42" s="21">
        <f>F42*J42</f>
        <v>0</v>
      </c>
      <c r="L42" s="22" t="s">
        <v>42</v>
      </c>
      <c r="M42" s="21">
        <f>IF(L42="5",H42,0)</f>
        <v>0</v>
      </c>
      <c r="X42" s="21">
        <f>IF(AB42=0,I42,0)</f>
        <v>0</v>
      </c>
      <c r="Y42" s="21">
        <f>IF(AB42=15,I42,0)</f>
        <v>0</v>
      </c>
      <c r="Z42" s="21">
        <f>IF(AB42=21,I42,0)</f>
        <v>0</v>
      </c>
      <c r="AB42" s="21">
        <v>21</v>
      </c>
      <c r="AC42" s="21">
        <f>G42*0</f>
        <v>0</v>
      </c>
      <c r="AD42" s="21">
        <f>G42*(1-0)</f>
        <v>0</v>
      </c>
      <c r="AK42" s="21">
        <f>F42*AC42</f>
        <v>0</v>
      </c>
      <c r="AL42" s="21">
        <f>F42*AD42</f>
        <v>0</v>
      </c>
      <c r="AM42" s="22" t="s">
        <v>126</v>
      </c>
      <c r="AN42" s="22" t="s">
        <v>48</v>
      </c>
      <c r="AO42" s="15" t="s">
        <v>49</v>
      </c>
    </row>
    <row r="43" spans="1:35" ht="12.75">
      <c r="A43" s="23"/>
      <c r="B43" s="24"/>
      <c r="C43" s="24" t="s">
        <v>100</v>
      </c>
      <c r="D43" s="64" t="s">
        <v>134</v>
      </c>
      <c r="E43" s="64"/>
      <c r="F43" s="64"/>
      <c r="G43" s="64"/>
      <c r="H43" s="20"/>
      <c r="I43" s="20"/>
      <c r="J43" s="15"/>
      <c r="K43" s="20">
        <f>SUM(K44:K47)</f>
        <v>0</v>
      </c>
      <c r="N43" s="20">
        <f>IF(O43="PR",I43,SUM(M44:M47))</f>
        <v>0</v>
      </c>
      <c r="O43" s="15" t="s">
        <v>41</v>
      </c>
      <c r="P43" s="20" t="e">
        <f>IF(O43="HS",#REF!,0)</f>
        <v>#REF!</v>
      </c>
      <c r="Q43" s="20">
        <f>IF(O43="HS",H43-N43,0)</f>
        <v>0</v>
      </c>
      <c r="R43" s="20">
        <f>IF(O43="PS",#REF!,0)</f>
        <v>0</v>
      </c>
      <c r="S43" s="20">
        <f>IF(O43="PS",H43-N43,0)</f>
        <v>0</v>
      </c>
      <c r="T43" s="20">
        <f>IF(O43="MP",#REF!,0)</f>
        <v>0</v>
      </c>
      <c r="U43" s="20">
        <f>IF(O43="MP",H43-N43,0)</f>
        <v>0</v>
      </c>
      <c r="V43" s="20">
        <f>IF(O43="OM",#REF!,0)</f>
        <v>0</v>
      </c>
      <c r="W43" s="15"/>
      <c r="AG43" s="20">
        <f>SUM(X44:X47)</f>
        <v>0</v>
      </c>
      <c r="AH43" s="20">
        <f>SUM(Y44:Y47)</f>
        <v>0</v>
      </c>
      <c r="AI43" s="20">
        <f>SUM(Z44:Z47)</f>
        <v>0</v>
      </c>
    </row>
    <row r="44" spans="1:41" ht="12.75">
      <c r="A44" s="2" t="s">
        <v>135</v>
      </c>
      <c r="B44" s="2"/>
      <c r="C44" s="2" t="s">
        <v>136</v>
      </c>
      <c r="D44" s="2" t="s">
        <v>137</v>
      </c>
      <c r="E44" s="2" t="s">
        <v>62</v>
      </c>
      <c r="F44" s="21">
        <v>48</v>
      </c>
      <c r="G44" s="41">
        <v>0</v>
      </c>
      <c r="H44" s="21"/>
      <c r="I44" s="21">
        <f t="shared" si="14"/>
        <v>0</v>
      </c>
      <c r="J44" s="21">
        <v>0</v>
      </c>
      <c r="K44" s="21">
        <f>F44*J44</f>
        <v>0</v>
      </c>
      <c r="L44" s="22" t="s">
        <v>42</v>
      </c>
      <c r="M44" s="21">
        <f>IF(L44="5",H44,0)</f>
        <v>0</v>
      </c>
      <c r="X44" s="21">
        <f>IF(AB44=0,I44,0)</f>
        <v>0</v>
      </c>
      <c r="Y44" s="21">
        <f>IF(AB44=15,I44,0)</f>
        <v>0</v>
      </c>
      <c r="Z44" s="21">
        <f>IF(AB44=21,I44,0)</f>
        <v>0</v>
      </c>
      <c r="AB44" s="21">
        <v>21</v>
      </c>
      <c r="AC44" s="21">
        <f>G44*0</f>
        <v>0</v>
      </c>
      <c r="AD44" s="21">
        <f>G44*(1-0)</f>
        <v>0</v>
      </c>
      <c r="AK44" s="21">
        <f>F44*AC44</f>
        <v>0</v>
      </c>
      <c r="AL44" s="21">
        <f>F44*AD44</f>
        <v>0</v>
      </c>
      <c r="AM44" s="22" t="s">
        <v>138</v>
      </c>
      <c r="AN44" s="22" t="s">
        <v>48</v>
      </c>
      <c r="AO44" s="15" t="s">
        <v>49</v>
      </c>
    </row>
    <row r="45" spans="1:41" ht="12.75">
      <c r="A45" s="2" t="s">
        <v>139</v>
      </c>
      <c r="B45" s="2"/>
      <c r="C45" s="2" t="s">
        <v>140</v>
      </c>
      <c r="D45" s="2" t="s">
        <v>141</v>
      </c>
      <c r="E45" s="2" t="s">
        <v>62</v>
      </c>
      <c r="F45" s="21">
        <v>48</v>
      </c>
      <c r="G45" s="41">
        <v>0</v>
      </c>
      <c r="H45" s="21"/>
      <c r="I45" s="21">
        <f aca="true" t="shared" si="15" ref="I45:I49">F45*G45</f>
        <v>0</v>
      </c>
      <c r="J45" s="21">
        <v>0</v>
      </c>
      <c r="K45" s="21">
        <f>F45*J45</f>
        <v>0</v>
      </c>
      <c r="L45" s="22" t="s">
        <v>42</v>
      </c>
      <c r="M45" s="21">
        <f>IF(L45="5",H45,0)</f>
        <v>0</v>
      </c>
      <c r="X45" s="21">
        <f>IF(AB45=0,I45,0)</f>
        <v>0</v>
      </c>
      <c r="Y45" s="21">
        <f>IF(AB45=15,I45,0)</f>
        <v>0</v>
      </c>
      <c r="Z45" s="21">
        <f>IF(AB45=21,I45,0)</f>
        <v>0</v>
      </c>
      <c r="AB45" s="21">
        <v>21</v>
      </c>
      <c r="AC45" s="21">
        <f>G45*0</f>
        <v>0</v>
      </c>
      <c r="AD45" s="21">
        <f>G45*(1-0)</f>
        <v>0</v>
      </c>
      <c r="AK45" s="21">
        <f>F45*AC45</f>
        <v>0</v>
      </c>
      <c r="AL45" s="21">
        <f>F45*AD45</f>
        <v>0</v>
      </c>
      <c r="AM45" s="22" t="s">
        <v>138</v>
      </c>
      <c r="AN45" s="22" t="s">
        <v>48</v>
      </c>
      <c r="AO45" s="15" t="s">
        <v>49</v>
      </c>
    </row>
    <row r="46" spans="1:41" ht="12.75">
      <c r="A46" s="2" t="s">
        <v>142</v>
      </c>
      <c r="B46" s="2"/>
      <c r="C46" s="2" t="s">
        <v>136</v>
      </c>
      <c r="D46" s="2" t="s">
        <v>137</v>
      </c>
      <c r="E46" s="2" t="s">
        <v>62</v>
      </c>
      <c r="F46" s="21">
        <v>36</v>
      </c>
      <c r="G46" s="41">
        <v>0</v>
      </c>
      <c r="H46" s="21"/>
      <c r="I46" s="21">
        <f t="shared" si="15"/>
        <v>0</v>
      </c>
      <c r="J46" s="21">
        <v>0</v>
      </c>
      <c r="K46" s="21">
        <f>F46*J46</f>
        <v>0</v>
      </c>
      <c r="L46" s="22" t="s">
        <v>42</v>
      </c>
      <c r="M46" s="21">
        <f>IF(L46="5",H46,0)</f>
        <v>0</v>
      </c>
      <c r="X46" s="21">
        <f>IF(AB46=0,I46,0)</f>
        <v>0</v>
      </c>
      <c r="Y46" s="21">
        <f>IF(AB46=15,I46,0)</f>
        <v>0</v>
      </c>
      <c r="Z46" s="21">
        <f>IF(AB46=21,I46,0)</f>
        <v>0</v>
      </c>
      <c r="AB46" s="21">
        <v>21</v>
      </c>
      <c r="AC46" s="21">
        <f>G46*0</f>
        <v>0</v>
      </c>
      <c r="AD46" s="21">
        <f>G46*(1-0)</f>
        <v>0</v>
      </c>
      <c r="AK46" s="21">
        <f>F46*AC46</f>
        <v>0</v>
      </c>
      <c r="AL46" s="21">
        <f>F46*AD46</f>
        <v>0</v>
      </c>
      <c r="AM46" s="22" t="s">
        <v>138</v>
      </c>
      <c r="AN46" s="22" t="s">
        <v>48</v>
      </c>
      <c r="AO46" s="15" t="s">
        <v>49</v>
      </c>
    </row>
    <row r="47" spans="1:41" ht="12.75">
      <c r="A47" s="2" t="s">
        <v>143</v>
      </c>
      <c r="B47" s="2"/>
      <c r="C47" s="2" t="s">
        <v>144</v>
      </c>
      <c r="D47" s="2" t="s">
        <v>145</v>
      </c>
      <c r="E47" s="2" t="s">
        <v>62</v>
      </c>
      <c r="F47" s="21">
        <v>36</v>
      </c>
      <c r="G47" s="41">
        <v>0</v>
      </c>
      <c r="H47" s="21"/>
      <c r="I47" s="21">
        <f t="shared" si="15"/>
        <v>0</v>
      </c>
      <c r="J47" s="21">
        <v>0</v>
      </c>
      <c r="K47" s="21">
        <f>F47*J47</f>
        <v>0</v>
      </c>
      <c r="L47" s="22" t="s">
        <v>42</v>
      </c>
      <c r="M47" s="21">
        <f>IF(L47="5",H47,0)</f>
        <v>0</v>
      </c>
      <c r="X47" s="21">
        <f>IF(AB47=0,I47,0)</f>
        <v>0</v>
      </c>
      <c r="Y47" s="21">
        <f>IF(AB47=15,I47,0)</f>
        <v>0</v>
      </c>
      <c r="Z47" s="21">
        <f>IF(AB47=21,I47,0)</f>
        <v>0</v>
      </c>
      <c r="AB47" s="21">
        <v>21</v>
      </c>
      <c r="AC47" s="21">
        <f>G47*0</f>
        <v>0</v>
      </c>
      <c r="AD47" s="21">
        <f>G47*(1-0)</f>
        <v>0</v>
      </c>
      <c r="AK47" s="21">
        <f>F47*AC47</f>
        <v>0</v>
      </c>
      <c r="AL47" s="21">
        <f>F47*AD47</f>
        <v>0</v>
      </c>
      <c r="AM47" s="22" t="s">
        <v>138</v>
      </c>
      <c r="AN47" s="22" t="s">
        <v>48</v>
      </c>
      <c r="AO47" s="15" t="s">
        <v>49</v>
      </c>
    </row>
    <row r="48" spans="1:35" ht="12.75">
      <c r="A48" s="23"/>
      <c r="B48" s="24"/>
      <c r="C48" s="24" t="s">
        <v>110</v>
      </c>
      <c r="D48" s="64" t="s">
        <v>146</v>
      </c>
      <c r="E48" s="64"/>
      <c r="F48" s="64"/>
      <c r="G48" s="64"/>
      <c r="H48" s="20"/>
      <c r="I48" s="20"/>
      <c r="J48" s="15"/>
      <c r="K48" s="20">
        <f>SUM(K49:K49)</f>
        <v>58.908249999999995</v>
      </c>
      <c r="N48" s="20">
        <f>IF(O48="PR",I48,SUM(M49:M49))</f>
        <v>0</v>
      </c>
      <c r="O48" s="15" t="s">
        <v>41</v>
      </c>
      <c r="P48" s="20" t="e">
        <f>IF(O48="HS",#REF!,0)</f>
        <v>#REF!</v>
      </c>
      <c r="Q48" s="20">
        <f>IF(O48="HS",H48-N48,0)</f>
        <v>0</v>
      </c>
      <c r="R48" s="20">
        <f>IF(O48="PS",#REF!,0)</f>
        <v>0</v>
      </c>
      <c r="S48" s="20">
        <f>IF(O48="PS",H48-N48,0)</f>
        <v>0</v>
      </c>
      <c r="T48" s="20">
        <f>IF(O48="MP",#REF!,0)</f>
        <v>0</v>
      </c>
      <c r="U48" s="20">
        <f>IF(O48="MP",H48-N48,0)</f>
        <v>0</v>
      </c>
      <c r="V48" s="20">
        <f>IF(O48="OM",#REF!,0)</f>
        <v>0</v>
      </c>
      <c r="W48" s="15"/>
      <c r="AG48" s="20">
        <f>SUM(X49:X49)</f>
        <v>0</v>
      </c>
      <c r="AH48" s="20">
        <f>SUM(Y49:Y49)</f>
        <v>0</v>
      </c>
      <c r="AI48" s="20">
        <f>SUM(Z49:Z49)</f>
        <v>0</v>
      </c>
    </row>
    <row r="49" spans="1:41" ht="12.75">
      <c r="A49" s="2" t="s">
        <v>147</v>
      </c>
      <c r="B49" s="2"/>
      <c r="C49" s="2" t="s">
        <v>148</v>
      </c>
      <c r="D49" s="2" t="s">
        <v>149</v>
      </c>
      <c r="E49" s="2" t="s">
        <v>84</v>
      </c>
      <c r="F49" s="21">
        <v>23.33</v>
      </c>
      <c r="G49" s="41">
        <v>0</v>
      </c>
      <c r="H49" s="21"/>
      <c r="I49" s="21">
        <f t="shared" si="15"/>
        <v>0</v>
      </c>
      <c r="J49" s="21">
        <v>2.525</v>
      </c>
      <c r="K49" s="21">
        <f>F49*J49</f>
        <v>58.908249999999995</v>
      </c>
      <c r="L49" s="22" t="s">
        <v>42</v>
      </c>
      <c r="M49" s="21">
        <f>IF(L49="5",H49,0)</f>
        <v>0</v>
      </c>
      <c r="X49" s="21">
        <f>IF(AB49=0,I49,0)</f>
        <v>0</v>
      </c>
      <c r="Y49" s="21">
        <f>IF(AB49=15,I49,0)</f>
        <v>0</v>
      </c>
      <c r="Z49" s="21">
        <f>IF(AB49=21,I49,0)</f>
        <v>0</v>
      </c>
      <c r="AB49" s="21">
        <v>21</v>
      </c>
      <c r="AC49" s="21">
        <f>G49*0.816098765432099</f>
        <v>0</v>
      </c>
      <c r="AD49" s="21">
        <f>G49*(1-0.816098765432099)</f>
        <v>0</v>
      </c>
      <c r="AK49" s="21">
        <f>F49*AC49</f>
        <v>0</v>
      </c>
      <c r="AL49" s="21">
        <f>F49*AD49</f>
        <v>0</v>
      </c>
      <c r="AM49" s="22" t="s">
        <v>150</v>
      </c>
      <c r="AN49" s="22" t="s">
        <v>151</v>
      </c>
      <c r="AO49" s="15" t="s">
        <v>49</v>
      </c>
    </row>
    <row r="50" spans="1:35" ht="12.75">
      <c r="A50" s="23"/>
      <c r="B50" s="24"/>
      <c r="C50" s="24" t="s">
        <v>133</v>
      </c>
      <c r="D50" s="64" t="s">
        <v>152</v>
      </c>
      <c r="E50" s="64"/>
      <c r="F50" s="64"/>
      <c r="G50" s="64"/>
      <c r="H50" s="20"/>
      <c r="I50" s="20"/>
      <c r="J50" s="15"/>
      <c r="K50" s="20">
        <f>SUM(K51:K54)</f>
        <v>11.734926</v>
      </c>
      <c r="N50" s="20">
        <f>IF(O50="PR",I50,SUM(M51:M54))</f>
        <v>0</v>
      </c>
      <c r="O50" s="15" t="s">
        <v>41</v>
      </c>
      <c r="P50" s="20" t="e">
        <f>IF(O50="HS",#REF!,0)</f>
        <v>#REF!</v>
      </c>
      <c r="Q50" s="20">
        <f>IF(O50="HS",H50-N50,0)</f>
        <v>0</v>
      </c>
      <c r="R50" s="20">
        <f>IF(O50="PS",#REF!,0)</f>
        <v>0</v>
      </c>
      <c r="S50" s="20">
        <f>IF(O50="PS",H50-N50,0)</f>
        <v>0</v>
      </c>
      <c r="T50" s="20">
        <f>IF(O50="MP",#REF!,0)</f>
        <v>0</v>
      </c>
      <c r="U50" s="20">
        <f>IF(O50="MP",H50-N50,0)</f>
        <v>0</v>
      </c>
      <c r="V50" s="20">
        <f>IF(O50="OM",#REF!,0)</f>
        <v>0</v>
      </c>
      <c r="W50" s="15"/>
      <c r="AG50" s="20">
        <f>SUM(X51:X54)</f>
        <v>0</v>
      </c>
      <c r="AH50" s="20">
        <f>SUM(Y51:Y54)</f>
        <v>0</v>
      </c>
      <c r="AI50" s="20">
        <f>SUM(Z51:Z54)</f>
        <v>0</v>
      </c>
    </row>
    <row r="51" spans="1:41" ht="12.75">
      <c r="A51" s="2" t="s">
        <v>153</v>
      </c>
      <c r="B51" s="2"/>
      <c r="C51" s="2" t="s">
        <v>154</v>
      </c>
      <c r="D51" s="2" t="s">
        <v>155</v>
      </c>
      <c r="E51" s="2" t="s">
        <v>84</v>
      </c>
      <c r="F51" s="21">
        <v>3.6</v>
      </c>
      <c r="G51" s="41">
        <v>0</v>
      </c>
      <c r="H51" s="21"/>
      <c r="I51" s="21">
        <f aca="true" t="shared" si="16" ref="I51">F51*G51</f>
        <v>0</v>
      </c>
      <c r="J51" s="21">
        <v>2.5856</v>
      </c>
      <c r="K51" s="21">
        <f>F51*J51</f>
        <v>9.308159999999999</v>
      </c>
      <c r="L51" s="22" t="s">
        <v>42</v>
      </c>
      <c r="M51" s="21">
        <f>IF(L51="5",H51,0)</f>
        <v>0</v>
      </c>
      <c r="X51" s="21">
        <f>IF(AB51=0,I51,0)</f>
        <v>0</v>
      </c>
      <c r="Y51" s="21">
        <f>IF(AB51=15,I51,0)</f>
        <v>0</v>
      </c>
      <c r="Z51" s="21">
        <f>IF(AB51=21,I51,0)</f>
        <v>0</v>
      </c>
      <c r="AB51" s="21">
        <v>21</v>
      </c>
      <c r="AC51" s="21">
        <f>G51*0.949170018281536</f>
        <v>0</v>
      </c>
      <c r="AD51" s="21">
        <f>G51*(1-0.949170018281536)</f>
        <v>0</v>
      </c>
      <c r="AK51" s="21">
        <f>F51*AC51</f>
        <v>0</v>
      </c>
      <c r="AL51" s="21">
        <f>F51*AD51</f>
        <v>0</v>
      </c>
      <c r="AM51" s="22" t="s">
        <v>156</v>
      </c>
      <c r="AN51" s="22" t="s">
        <v>151</v>
      </c>
      <c r="AO51" s="15" t="s">
        <v>49</v>
      </c>
    </row>
    <row r="52" spans="1:41" ht="12.75">
      <c r="A52" s="2" t="s">
        <v>157</v>
      </c>
      <c r="B52" s="2"/>
      <c r="C52" s="2" t="s">
        <v>158</v>
      </c>
      <c r="D52" s="2" t="s">
        <v>159</v>
      </c>
      <c r="E52" s="2" t="s">
        <v>62</v>
      </c>
      <c r="F52" s="21">
        <v>51.71</v>
      </c>
      <c r="G52" s="41">
        <v>0</v>
      </c>
      <c r="H52" s="21"/>
      <c r="I52" s="21">
        <f aca="true" t="shared" si="17" ref="I52:I54">F52*G52</f>
        <v>0</v>
      </c>
      <c r="J52" s="21">
        <v>0.0002</v>
      </c>
      <c r="K52" s="21">
        <f>F52*J52</f>
        <v>0.010342</v>
      </c>
      <c r="L52" s="22" t="s">
        <v>42</v>
      </c>
      <c r="M52" s="21">
        <f>IF(L52="5",H52,0)</f>
        <v>0</v>
      </c>
      <c r="X52" s="21">
        <f>IF(AB52=0,I52,0)</f>
        <v>0</v>
      </c>
      <c r="Y52" s="21">
        <f>IF(AB52=15,I52,0)</f>
        <v>0</v>
      </c>
      <c r="Z52" s="21">
        <f>IF(AB52=21,I52,0)</f>
        <v>0</v>
      </c>
      <c r="AB52" s="21">
        <v>21</v>
      </c>
      <c r="AC52" s="21">
        <f>G52*0.0245529850615576</f>
        <v>0</v>
      </c>
      <c r="AD52" s="21">
        <f>G52*(1-0.0245529850615576)</f>
        <v>0</v>
      </c>
      <c r="AK52" s="21">
        <f>F52*AC52</f>
        <v>0</v>
      </c>
      <c r="AL52" s="21">
        <f>F52*AD52</f>
        <v>0</v>
      </c>
      <c r="AM52" s="22" t="s">
        <v>156</v>
      </c>
      <c r="AN52" s="22" t="s">
        <v>151</v>
      </c>
      <c r="AO52" s="15" t="s">
        <v>49</v>
      </c>
    </row>
    <row r="53" spans="1:41" ht="12.75">
      <c r="A53" s="2" t="s">
        <v>160</v>
      </c>
      <c r="B53" s="2"/>
      <c r="C53" s="2" t="s">
        <v>161</v>
      </c>
      <c r="D53" s="2" t="s">
        <v>162</v>
      </c>
      <c r="E53" s="2" t="s">
        <v>45</v>
      </c>
      <c r="F53" s="21">
        <v>0.8</v>
      </c>
      <c r="G53" s="41">
        <v>0</v>
      </c>
      <c r="H53" s="21"/>
      <c r="I53" s="21">
        <f t="shared" si="17"/>
        <v>0</v>
      </c>
      <c r="J53" s="21">
        <v>1.00349</v>
      </c>
      <c r="K53" s="21">
        <f>F53*J53</f>
        <v>0.8027920000000001</v>
      </c>
      <c r="L53" s="22" t="s">
        <v>42</v>
      </c>
      <c r="M53" s="21">
        <f>IF(L53="5",H53,0)</f>
        <v>0</v>
      </c>
      <c r="X53" s="21">
        <f>IF(AB53=0,I53,0)</f>
        <v>0</v>
      </c>
      <c r="Y53" s="21">
        <f>IF(AB53=15,I53,0)</f>
        <v>0</v>
      </c>
      <c r="Z53" s="21">
        <f>IF(AB53=21,I53,0)</f>
        <v>0</v>
      </c>
      <c r="AB53" s="21">
        <v>21</v>
      </c>
      <c r="AC53" s="21">
        <f>G53*0.566096713615023</f>
        <v>0</v>
      </c>
      <c r="AD53" s="21">
        <f>G53*(1-0.566096713615023)</f>
        <v>0</v>
      </c>
      <c r="AK53" s="21">
        <f>F53*AC53</f>
        <v>0</v>
      </c>
      <c r="AL53" s="21">
        <f>F53*AD53</f>
        <v>0</v>
      </c>
      <c r="AM53" s="22" t="s">
        <v>156</v>
      </c>
      <c r="AN53" s="22" t="s">
        <v>151</v>
      </c>
      <c r="AO53" s="15" t="s">
        <v>49</v>
      </c>
    </row>
    <row r="54" spans="1:41" ht="12.75">
      <c r="A54" s="2" t="s">
        <v>163</v>
      </c>
      <c r="B54" s="2"/>
      <c r="C54" s="2" t="s">
        <v>164</v>
      </c>
      <c r="D54" s="2" t="s">
        <v>165</v>
      </c>
      <c r="E54" s="2" t="s">
        <v>45</v>
      </c>
      <c r="F54" s="21">
        <v>1.6</v>
      </c>
      <c r="G54" s="41">
        <v>0</v>
      </c>
      <c r="H54" s="21"/>
      <c r="I54" s="21">
        <f t="shared" si="17"/>
        <v>0</v>
      </c>
      <c r="J54" s="21">
        <v>1.00852</v>
      </c>
      <c r="K54" s="21">
        <f>F54*J54</f>
        <v>1.6136320000000002</v>
      </c>
      <c r="L54" s="22" t="s">
        <v>42</v>
      </c>
      <c r="M54" s="21">
        <f>IF(L54="5",H54,0)</f>
        <v>0</v>
      </c>
      <c r="X54" s="21">
        <f>IF(AB54=0,I54,0)</f>
        <v>0</v>
      </c>
      <c r="Y54" s="21">
        <f>IF(AB54=15,I54,0)</f>
        <v>0</v>
      </c>
      <c r="Z54" s="21">
        <f>IF(AB54=21,I54,0)</f>
        <v>0</v>
      </c>
      <c r="AB54" s="21">
        <v>21</v>
      </c>
      <c r="AC54" s="21">
        <f>G54*0.686776135943849</f>
        <v>0</v>
      </c>
      <c r="AD54" s="21">
        <f>G54*(1-0.686776135943849)</f>
        <v>0</v>
      </c>
      <c r="AK54" s="21">
        <f>F54*AC54</f>
        <v>0</v>
      </c>
      <c r="AL54" s="21">
        <f>F54*AD54</f>
        <v>0</v>
      </c>
      <c r="AM54" s="22" t="s">
        <v>156</v>
      </c>
      <c r="AN54" s="22" t="s">
        <v>151</v>
      </c>
      <c r="AO54" s="15" t="s">
        <v>49</v>
      </c>
    </row>
    <row r="55" spans="1:35" ht="12.75">
      <c r="A55" s="23"/>
      <c r="B55" s="24"/>
      <c r="C55" s="24" t="s">
        <v>143</v>
      </c>
      <c r="D55" s="64" t="s">
        <v>166</v>
      </c>
      <c r="E55" s="64"/>
      <c r="F55" s="64"/>
      <c r="G55" s="64"/>
      <c r="H55" s="20"/>
      <c r="I55" s="20"/>
      <c r="J55" s="15"/>
      <c r="K55" s="20">
        <f>SUM(K56:K60)</f>
        <v>22.135078</v>
      </c>
      <c r="N55" s="20">
        <f>IF(O55="PR",I55,SUM(M56:M60))</f>
        <v>0</v>
      </c>
      <c r="O55" s="15" t="s">
        <v>41</v>
      </c>
      <c r="P55" s="20" t="e">
        <f>IF(O55="HS",#REF!,0)</f>
        <v>#REF!</v>
      </c>
      <c r="Q55" s="20">
        <f>IF(O55="HS",H55-N55,0)</f>
        <v>0</v>
      </c>
      <c r="R55" s="20">
        <f>IF(O55="PS",#REF!,0)</f>
        <v>0</v>
      </c>
      <c r="S55" s="20">
        <f>IF(O55="PS",H55-N55,0)</f>
        <v>0</v>
      </c>
      <c r="T55" s="20">
        <f>IF(O55="MP",#REF!,0)</f>
        <v>0</v>
      </c>
      <c r="U55" s="20">
        <f>IF(O55="MP",H55-N55,0)</f>
        <v>0</v>
      </c>
      <c r="V55" s="20">
        <f>IF(O55="OM",#REF!,0)</f>
        <v>0</v>
      </c>
      <c r="W55" s="15"/>
      <c r="AG55" s="20">
        <f>SUM(X56:X60)</f>
        <v>0</v>
      </c>
      <c r="AH55" s="20">
        <f>SUM(Y56:Y60)</f>
        <v>0</v>
      </c>
      <c r="AI55" s="20">
        <f>SUM(Z56:Z60)</f>
        <v>0</v>
      </c>
    </row>
    <row r="56" spans="1:41" ht="12.75">
      <c r="A56" s="2" t="s">
        <v>167</v>
      </c>
      <c r="B56" s="2"/>
      <c r="C56" s="2" t="s">
        <v>168</v>
      </c>
      <c r="D56" s="2" t="s">
        <v>169</v>
      </c>
      <c r="E56" s="2" t="s">
        <v>62</v>
      </c>
      <c r="F56" s="21">
        <v>39.6</v>
      </c>
      <c r="G56" s="41">
        <v>0</v>
      </c>
      <c r="H56" s="21"/>
      <c r="I56" s="21">
        <f aca="true" t="shared" si="18" ref="I56:I59">F56*G56</f>
        <v>0</v>
      </c>
      <c r="J56" s="21">
        <v>0.02236</v>
      </c>
      <c r="K56" s="21">
        <f>F56*J56</f>
        <v>0.8854560000000001</v>
      </c>
      <c r="L56" s="22" t="s">
        <v>42</v>
      </c>
      <c r="M56" s="21">
        <f>IF(L56="5",H56,0)</f>
        <v>0</v>
      </c>
      <c r="X56" s="21">
        <f>IF(AB56=0,I56,0)</f>
        <v>0</v>
      </c>
      <c r="Y56" s="21">
        <f>IF(AB56=15,I56,0)</f>
        <v>0</v>
      </c>
      <c r="Z56" s="21">
        <f>IF(AB56=21,I56,0)</f>
        <v>0</v>
      </c>
      <c r="AB56" s="21">
        <v>21</v>
      </c>
      <c r="AC56" s="21">
        <f>G56*0.332748414376321</f>
        <v>0</v>
      </c>
      <c r="AD56" s="21">
        <f>G56*(1-0.332748414376321)</f>
        <v>0</v>
      </c>
      <c r="AK56" s="21">
        <f>F56*AC56</f>
        <v>0</v>
      </c>
      <c r="AL56" s="21">
        <f>F56*AD56</f>
        <v>0</v>
      </c>
      <c r="AM56" s="22" t="s">
        <v>170</v>
      </c>
      <c r="AN56" s="22" t="s">
        <v>171</v>
      </c>
      <c r="AO56" s="15" t="s">
        <v>49</v>
      </c>
    </row>
    <row r="57" spans="1:41" ht="12.75">
      <c r="A57" s="2" t="s">
        <v>172</v>
      </c>
      <c r="B57" s="2"/>
      <c r="C57" s="2" t="s">
        <v>173</v>
      </c>
      <c r="D57" s="2" t="s">
        <v>174</v>
      </c>
      <c r="E57" s="2" t="s">
        <v>62</v>
      </c>
      <c r="F57" s="21">
        <v>39.6</v>
      </c>
      <c r="G57" s="41">
        <v>0</v>
      </c>
      <c r="H57" s="21"/>
      <c r="I57" s="21">
        <f t="shared" si="18"/>
        <v>0</v>
      </c>
      <c r="J57" s="21">
        <v>0</v>
      </c>
      <c r="K57" s="21">
        <f>F57*J57</f>
        <v>0</v>
      </c>
      <c r="L57" s="22" t="s">
        <v>42</v>
      </c>
      <c r="M57" s="21">
        <f>IF(L57="5",H57,0)</f>
        <v>0</v>
      </c>
      <c r="X57" s="21">
        <f>IF(AB57=0,I57,0)</f>
        <v>0</v>
      </c>
      <c r="Y57" s="21">
        <f>IF(AB57=15,I57,0)</f>
        <v>0</v>
      </c>
      <c r="Z57" s="21">
        <f>IF(AB57=21,I57,0)</f>
        <v>0</v>
      </c>
      <c r="AB57" s="21">
        <v>21</v>
      </c>
      <c r="AC57" s="21">
        <f>G57*0</f>
        <v>0</v>
      </c>
      <c r="AD57" s="21">
        <f>G57*(1-0)</f>
        <v>0</v>
      </c>
      <c r="AK57" s="21">
        <f>F57*AC57</f>
        <v>0</v>
      </c>
      <c r="AL57" s="21">
        <f>F57*AD57</f>
        <v>0</v>
      </c>
      <c r="AM57" s="22" t="s">
        <v>170</v>
      </c>
      <c r="AN57" s="22" t="s">
        <v>171</v>
      </c>
      <c r="AO57" s="15" t="s">
        <v>49</v>
      </c>
    </row>
    <row r="58" spans="1:41" ht="12.75">
      <c r="A58" s="2" t="s">
        <v>175</v>
      </c>
      <c r="B58" s="2"/>
      <c r="C58" s="2" t="s">
        <v>176</v>
      </c>
      <c r="D58" s="2" t="s">
        <v>177</v>
      </c>
      <c r="E58" s="2" t="s">
        <v>45</v>
      </c>
      <c r="F58" s="21">
        <v>0.9</v>
      </c>
      <c r="G58" s="41">
        <v>0</v>
      </c>
      <c r="H58" s="21"/>
      <c r="I58" s="21">
        <f t="shared" si="18"/>
        <v>0</v>
      </c>
      <c r="J58" s="21">
        <v>1.00442</v>
      </c>
      <c r="K58" s="21">
        <f>F58*J58</f>
        <v>0.9039780000000001</v>
      </c>
      <c r="L58" s="22" t="s">
        <v>42</v>
      </c>
      <c r="M58" s="21">
        <f>IF(L58="5",H58,0)</f>
        <v>0</v>
      </c>
      <c r="X58" s="21">
        <f>IF(AB58=0,I58,0)</f>
        <v>0</v>
      </c>
      <c r="Y58" s="21">
        <f>IF(AB58=15,I58,0)</f>
        <v>0</v>
      </c>
      <c r="Z58" s="21">
        <f>IF(AB58=21,I58,0)</f>
        <v>0</v>
      </c>
      <c r="AB58" s="21">
        <v>21</v>
      </c>
      <c r="AC58" s="21">
        <f>G58*0.546567640855679</f>
        <v>0</v>
      </c>
      <c r="AD58" s="21">
        <f>G58*(1-0.546567640855679)</f>
        <v>0</v>
      </c>
      <c r="AK58" s="21">
        <f>F58*AC58</f>
        <v>0</v>
      </c>
      <c r="AL58" s="21">
        <f>F58*AD58</f>
        <v>0</v>
      </c>
      <c r="AM58" s="22" t="s">
        <v>170</v>
      </c>
      <c r="AN58" s="22" t="s">
        <v>171</v>
      </c>
      <c r="AO58" s="15" t="s">
        <v>49</v>
      </c>
    </row>
    <row r="59" spans="1:41" ht="12.75">
      <c r="A59" s="2" t="s">
        <v>178</v>
      </c>
      <c r="B59" s="2"/>
      <c r="C59" s="2" t="s">
        <v>179</v>
      </c>
      <c r="D59" s="2" t="s">
        <v>180</v>
      </c>
      <c r="E59" s="2" t="s">
        <v>62</v>
      </c>
      <c r="F59" s="21">
        <v>1.4</v>
      </c>
      <c r="G59" s="41">
        <v>0</v>
      </c>
      <c r="H59" s="21"/>
      <c r="I59" s="21">
        <f t="shared" si="18"/>
        <v>0</v>
      </c>
      <c r="J59" s="21">
        <v>0.00146</v>
      </c>
      <c r="K59" s="21">
        <f>F59*J59</f>
        <v>0.002044</v>
      </c>
      <c r="L59" s="22" t="s">
        <v>42</v>
      </c>
      <c r="M59" s="21">
        <f>IF(L59="5",H59,0)</f>
        <v>0</v>
      </c>
      <c r="X59" s="21">
        <f>IF(AB59=0,I59,0)</f>
        <v>0</v>
      </c>
      <c r="Y59" s="21">
        <f>IF(AB59=15,I59,0)</f>
        <v>0</v>
      </c>
      <c r="Z59" s="21">
        <f>IF(AB59=21,I59,0)</f>
        <v>0</v>
      </c>
      <c r="AB59" s="21">
        <v>21</v>
      </c>
      <c r="AC59" s="21">
        <f>G59*0.0961253263707572</f>
        <v>0</v>
      </c>
      <c r="AD59" s="21">
        <f>G59*(1-0.0961253263707572)</f>
        <v>0</v>
      </c>
      <c r="AK59" s="21">
        <f>F59*AC59</f>
        <v>0</v>
      </c>
      <c r="AL59" s="21">
        <f>F59*AD59</f>
        <v>0</v>
      </c>
      <c r="AM59" s="22" t="s">
        <v>170</v>
      </c>
      <c r="AN59" s="22" t="s">
        <v>171</v>
      </c>
      <c r="AO59" s="15" t="s">
        <v>49</v>
      </c>
    </row>
    <row r="60" spans="1:41" ht="12.75">
      <c r="A60" s="2" t="s">
        <v>181</v>
      </c>
      <c r="B60" s="2"/>
      <c r="C60" s="2" t="s">
        <v>182</v>
      </c>
      <c r="D60" s="2" t="s">
        <v>183</v>
      </c>
      <c r="E60" s="2" t="s">
        <v>84</v>
      </c>
      <c r="F60" s="21">
        <v>8</v>
      </c>
      <c r="G60" s="41">
        <v>0</v>
      </c>
      <c r="H60" s="21"/>
      <c r="I60" s="21">
        <f aca="true" t="shared" si="19" ref="I60">F60*G60</f>
        <v>0</v>
      </c>
      <c r="J60" s="21">
        <v>2.54295</v>
      </c>
      <c r="K60" s="21">
        <f>F60*J60</f>
        <v>20.3436</v>
      </c>
      <c r="L60" s="22" t="s">
        <v>42</v>
      </c>
      <c r="M60" s="21">
        <f>IF(L60="5",H60,0)</f>
        <v>0</v>
      </c>
      <c r="X60" s="21">
        <f>IF(AB60=0,I60,0)</f>
        <v>0</v>
      </c>
      <c r="Y60" s="21">
        <f>IF(AB60=15,I60,0)</f>
        <v>0</v>
      </c>
      <c r="Z60" s="21">
        <f>IF(AB60=21,I60,0)</f>
        <v>0</v>
      </c>
      <c r="AB60" s="21">
        <v>21</v>
      </c>
      <c r="AC60" s="21">
        <f>G60*0.794992170744344</f>
        <v>0</v>
      </c>
      <c r="AD60" s="21">
        <f>G60*(1-0.794992170744344)</f>
        <v>0</v>
      </c>
      <c r="AK60" s="21">
        <f>F60*AC60</f>
        <v>0</v>
      </c>
      <c r="AL60" s="21">
        <f>F60*AD60</f>
        <v>0</v>
      </c>
      <c r="AM60" s="22" t="s">
        <v>170</v>
      </c>
      <c r="AN60" s="22" t="s">
        <v>171</v>
      </c>
      <c r="AO60" s="15" t="s">
        <v>49</v>
      </c>
    </row>
    <row r="61" spans="1:35" ht="12.75">
      <c r="A61" s="23"/>
      <c r="B61" s="24"/>
      <c r="C61" s="24" t="s">
        <v>147</v>
      </c>
      <c r="D61" s="64" t="s">
        <v>184</v>
      </c>
      <c r="E61" s="64"/>
      <c r="F61" s="64"/>
      <c r="G61" s="64"/>
      <c r="H61" s="20"/>
      <c r="I61" s="20"/>
      <c r="J61" s="15"/>
      <c r="K61" s="20">
        <f>SUM(K62:K62)</f>
        <v>19.9572762</v>
      </c>
      <c r="N61" s="20">
        <f>IF(O61="PR",I61,SUM(M62:M62))</f>
        <v>0</v>
      </c>
      <c r="O61" s="15" t="s">
        <v>41</v>
      </c>
      <c r="P61" s="20" t="e">
        <f>IF(O61="HS",#REF!,0)</f>
        <v>#REF!</v>
      </c>
      <c r="Q61" s="20">
        <f>IF(O61="HS",H61-N61,0)</f>
        <v>0</v>
      </c>
      <c r="R61" s="20">
        <f>IF(O61="PS",#REF!,0)</f>
        <v>0</v>
      </c>
      <c r="S61" s="20">
        <f>IF(O61="PS",H61-N61,0)</f>
        <v>0</v>
      </c>
      <c r="T61" s="20">
        <f>IF(O61="MP",#REF!,0)</f>
        <v>0</v>
      </c>
      <c r="U61" s="20">
        <f>IF(O61="MP",H61-N61,0)</f>
        <v>0</v>
      </c>
      <c r="V61" s="20">
        <f>IF(O61="OM",#REF!,0)</f>
        <v>0</v>
      </c>
      <c r="W61" s="15"/>
      <c r="AG61" s="20">
        <f>SUM(X62:X62)</f>
        <v>0</v>
      </c>
      <c r="AH61" s="20">
        <f>SUM(Y62:Y62)</f>
        <v>0</v>
      </c>
      <c r="AI61" s="20">
        <f>SUM(Z62:Z62)</f>
        <v>0</v>
      </c>
    </row>
    <row r="62" spans="1:41" ht="12.75">
      <c r="A62" s="2" t="s">
        <v>185</v>
      </c>
      <c r="B62" s="2"/>
      <c r="C62" s="2" t="s">
        <v>186</v>
      </c>
      <c r="D62" s="2" t="s">
        <v>187</v>
      </c>
      <c r="E62" s="2" t="s">
        <v>84</v>
      </c>
      <c r="F62" s="21">
        <v>6.42</v>
      </c>
      <c r="G62" s="41">
        <v>0</v>
      </c>
      <c r="H62" s="21"/>
      <c r="I62" s="21">
        <f aca="true" t="shared" si="20" ref="I62">F62*G62</f>
        <v>0</v>
      </c>
      <c r="J62" s="21">
        <v>3.10861</v>
      </c>
      <c r="K62" s="21">
        <f>F62*J62</f>
        <v>19.9572762</v>
      </c>
      <c r="L62" s="22" t="s">
        <v>42</v>
      </c>
      <c r="M62" s="21">
        <f>IF(L62="5",H62,0)</f>
        <v>0</v>
      </c>
      <c r="X62" s="21">
        <f>IF(AB62=0,I62,0)</f>
        <v>0</v>
      </c>
      <c r="Y62" s="21">
        <f>IF(AB62=15,I62,0)</f>
        <v>0</v>
      </c>
      <c r="Z62" s="21">
        <f>IF(AB62=21,I62,0)</f>
        <v>0</v>
      </c>
      <c r="AB62" s="21">
        <v>21</v>
      </c>
      <c r="AC62" s="21">
        <f>G62*0.512169886033445</f>
        <v>0</v>
      </c>
      <c r="AD62" s="21">
        <f>G62*(1-0.512169886033445)</f>
        <v>0</v>
      </c>
      <c r="AK62" s="21">
        <f>F62*AC62</f>
        <v>0</v>
      </c>
      <c r="AL62" s="21">
        <f>F62*AD62</f>
        <v>0</v>
      </c>
      <c r="AM62" s="22" t="s">
        <v>188</v>
      </c>
      <c r="AN62" s="22" t="s">
        <v>171</v>
      </c>
      <c r="AO62" s="15" t="s">
        <v>49</v>
      </c>
    </row>
    <row r="63" spans="1:35" ht="12.75">
      <c r="A63" s="23"/>
      <c r="B63" s="24"/>
      <c r="C63" s="24" t="s">
        <v>175</v>
      </c>
      <c r="D63" s="64" t="s">
        <v>189</v>
      </c>
      <c r="E63" s="64"/>
      <c r="F63" s="64"/>
      <c r="G63" s="64"/>
      <c r="H63" s="20"/>
      <c r="I63" s="20"/>
      <c r="J63" s="15"/>
      <c r="K63" s="20">
        <f>SUM(K64:K69)</f>
        <v>14.45452</v>
      </c>
      <c r="N63" s="20">
        <f>IF(O63="PR",I63,SUM(M64:M69))</f>
        <v>0</v>
      </c>
      <c r="O63" s="15" t="s">
        <v>41</v>
      </c>
      <c r="P63" s="20" t="e">
        <f>IF(O63="HS",#REF!,0)</f>
        <v>#REF!</v>
      </c>
      <c r="Q63" s="20">
        <f>IF(O63="HS",H63-N63,0)</f>
        <v>0</v>
      </c>
      <c r="R63" s="20">
        <f>IF(O63="PS",#REF!,0)</f>
        <v>0</v>
      </c>
      <c r="S63" s="20">
        <f>IF(O63="PS",H63-N63,0)</f>
        <v>0</v>
      </c>
      <c r="T63" s="20">
        <f>IF(O63="MP",#REF!,0)</f>
        <v>0</v>
      </c>
      <c r="U63" s="20">
        <f>IF(O63="MP",H63-N63,0)</f>
        <v>0</v>
      </c>
      <c r="V63" s="20">
        <f>IF(O63="OM",#REF!,0)</f>
        <v>0</v>
      </c>
      <c r="W63" s="15"/>
      <c r="AG63" s="20">
        <f>SUM(X64:X69)</f>
        <v>0</v>
      </c>
      <c r="AH63" s="20">
        <f>SUM(Y64:Y69)</f>
        <v>0</v>
      </c>
      <c r="AI63" s="20">
        <f>SUM(Z64:Z69)</f>
        <v>0</v>
      </c>
    </row>
    <row r="64" spans="1:41" ht="12.75">
      <c r="A64" s="2" t="s">
        <v>190</v>
      </c>
      <c r="B64" s="2"/>
      <c r="C64" s="2" t="s">
        <v>191</v>
      </c>
      <c r="D64" s="2" t="s">
        <v>192</v>
      </c>
      <c r="E64" s="2" t="s">
        <v>62</v>
      </c>
      <c r="F64" s="21">
        <v>43</v>
      </c>
      <c r="G64" s="41">
        <v>0</v>
      </c>
      <c r="H64" s="21"/>
      <c r="I64" s="21">
        <f aca="true" t="shared" si="21" ref="I64">F64*G64</f>
        <v>0</v>
      </c>
      <c r="J64" s="21">
        <v>0.00776</v>
      </c>
      <c r="K64" s="21">
        <f aca="true" t="shared" si="22" ref="K64:K69">F64*J64</f>
        <v>0.33368000000000003</v>
      </c>
      <c r="L64" s="22" t="s">
        <v>42</v>
      </c>
      <c r="M64" s="21">
        <f aca="true" t="shared" si="23" ref="M64:M69">IF(L64="5",H64,0)</f>
        <v>0</v>
      </c>
      <c r="X64" s="21">
        <f aca="true" t="shared" si="24" ref="X64:X69">IF(AB64=0,I64,0)</f>
        <v>0</v>
      </c>
      <c r="Y64" s="21">
        <f aca="true" t="shared" si="25" ref="Y64:Y69">IF(AB64=15,I64,0)</f>
        <v>0</v>
      </c>
      <c r="Z64" s="21">
        <f aca="true" t="shared" si="26" ref="Z64:Z69">IF(AB64=21,I64,0)</f>
        <v>0</v>
      </c>
      <c r="AB64" s="21">
        <v>21</v>
      </c>
      <c r="AC64" s="21">
        <f>G64*0.259074535882516</f>
        <v>0</v>
      </c>
      <c r="AD64" s="21">
        <f>G64*(1-0.259074535882516)</f>
        <v>0</v>
      </c>
      <c r="AK64" s="21">
        <f aca="true" t="shared" si="27" ref="AK64:AK69">F64*AC64</f>
        <v>0</v>
      </c>
      <c r="AL64" s="21">
        <f aca="true" t="shared" si="28" ref="AL64:AL69">F64*AD64</f>
        <v>0</v>
      </c>
      <c r="AM64" s="22" t="s">
        <v>193</v>
      </c>
      <c r="AN64" s="22" t="s">
        <v>171</v>
      </c>
      <c r="AO64" s="15" t="s">
        <v>49</v>
      </c>
    </row>
    <row r="65" spans="1:41" ht="12.75">
      <c r="A65" s="2" t="s">
        <v>194</v>
      </c>
      <c r="B65" s="2"/>
      <c r="C65" s="2" t="s">
        <v>195</v>
      </c>
      <c r="D65" s="2" t="s">
        <v>196</v>
      </c>
      <c r="E65" s="2" t="s">
        <v>59</v>
      </c>
      <c r="F65" s="21">
        <v>387</v>
      </c>
      <c r="G65" s="41">
        <v>0</v>
      </c>
      <c r="H65" s="21"/>
      <c r="I65" s="21">
        <f aca="true" t="shared" si="29" ref="I65:I69">F65*G65</f>
        <v>0</v>
      </c>
      <c r="J65" s="21">
        <v>0.00016</v>
      </c>
      <c r="K65" s="21">
        <f t="shared" si="22"/>
        <v>0.06192</v>
      </c>
      <c r="L65" s="22" t="s">
        <v>42</v>
      </c>
      <c r="M65" s="21">
        <f t="shared" si="23"/>
        <v>0</v>
      </c>
      <c r="X65" s="21">
        <f t="shared" si="24"/>
        <v>0</v>
      </c>
      <c r="Y65" s="21">
        <f t="shared" si="25"/>
        <v>0</v>
      </c>
      <c r="Z65" s="21">
        <f t="shared" si="26"/>
        <v>0</v>
      </c>
      <c r="AB65" s="21">
        <v>21</v>
      </c>
      <c r="AC65" s="21">
        <f>G65*0.0446727549467275</f>
        <v>0</v>
      </c>
      <c r="AD65" s="21">
        <f>G65*(1-0.0446727549467275)</f>
        <v>0</v>
      </c>
      <c r="AK65" s="21">
        <f t="shared" si="27"/>
        <v>0</v>
      </c>
      <c r="AL65" s="21">
        <f t="shared" si="28"/>
        <v>0</v>
      </c>
      <c r="AM65" s="22" t="s">
        <v>193</v>
      </c>
      <c r="AN65" s="22" t="s">
        <v>171</v>
      </c>
      <c r="AO65" s="15" t="s">
        <v>49</v>
      </c>
    </row>
    <row r="66" spans="1:41" ht="12.75">
      <c r="A66" s="2" t="s">
        <v>197</v>
      </c>
      <c r="B66" s="2"/>
      <c r="C66" s="2" t="s">
        <v>198</v>
      </c>
      <c r="D66" s="2" t="s">
        <v>199</v>
      </c>
      <c r="E66" s="2" t="s">
        <v>62</v>
      </c>
      <c r="F66" s="21">
        <v>47</v>
      </c>
      <c r="G66" s="41">
        <v>0</v>
      </c>
      <c r="H66" s="21"/>
      <c r="I66" s="21">
        <f t="shared" si="29"/>
        <v>0</v>
      </c>
      <c r="J66" s="21">
        <v>0.07</v>
      </c>
      <c r="K66" s="21">
        <f t="shared" si="22"/>
        <v>3.2900000000000005</v>
      </c>
      <c r="L66" s="22" t="s">
        <v>42</v>
      </c>
      <c r="M66" s="21">
        <f t="shared" si="23"/>
        <v>0</v>
      </c>
      <c r="X66" s="21">
        <f t="shared" si="24"/>
        <v>0</v>
      </c>
      <c r="Y66" s="21">
        <f t="shared" si="25"/>
        <v>0</v>
      </c>
      <c r="Z66" s="21">
        <f t="shared" si="26"/>
        <v>0</v>
      </c>
      <c r="AB66" s="21">
        <v>21</v>
      </c>
      <c r="AC66" s="21">
        <f>G66*0.246730038022814</f>
        <v>0</v>
      </c>
      <c r="AD66" s="21">
        <f>G66*(1-0.246730038022814)</f>
        <v>0</v>
      </c>
      <c r="AK66" s="21">
        <f t="shared" si="27"/>
        <v>0</v>
      </c>
      <c r="AL66" s="21">
        <f t="shared" si="28"/>
        <v>0</v>
      </c>
      <c r="AM66" s="22" t="s">
        <v>193</v>
      </c>
      <c r="AN66" s="22" t="s">
        <v>171</v>
      </c>
      <c r="AO66" s="15" t="s">
        <v>49</v>
      </c>
    </row>
    <row r="67" spans="1:41" ht="12.75">
      <c r="A67" s="2" t="s">
        <v>200</v>
      </c>
      <c r="B67" s="2"/>
      <c r="C67" s="2" t="s">
        <v>201</v>
      </c>
      <c r="D67" s="2" t="s">
        <v>202</v>
      </c>
      <c r="E67" s="2" t="s">
        <v>62</v>
      </c>
      <c r="F67" s="21">
        <v>46</v>
      </c>
      <c r="G67" s="41">
        <v>0</v>
      </c>
      <c r="H67" s="21"/>
      <c r="I67" s="21">
        <f t="shared" si="29"/>
        <v>0</v>
      </c>
      <c r="J67" s="21">
        <v>0</v>
      </c>
      <c r="K67" s="21">
        <f t="shared" si="22"/>
        <v>0</v>
      </c>
      <c r="L67" s="22" t="s">
        <v>42</v>
      </c>
      <c r="M67" s="21">
        <f t="shared" si="23"/>
        <v>0</v>
      </c>
      <c r="X67" s="21">
        <f t="shared" si="24"/>
        <v>0</v>
      </c>
      <c r="Y67" s="21">
        <f t="shared" si="25"/>
        <v>0</v>
      </c>
      <c r="Z67" s="21">
        <f t="shared" si="26"/>
        <v>0</v>
      </c>
      <c r="AB67" s="21">
        <v>21</v>
      </c>
      <c r="AC67" s="21">
        <f>G67*0.0274310595065312</f>
        <v>0</v>
      </c>
      <c r="AD67" s="21">
        <f>G67*(1-0.0274310595065312)</f>
        <v>0</v>
      </c>
      <c r="AK67" s="21">
        <f t="shared" si="27"/>
        <v>0</v>
      </c>
      <c r="AL67" s="21">
        <f t="shared" si="28"/>
        <v>0</v>
      </c>
      <c r="AM67" s="22" t="s">
        <v>193</v>
      </c>
      <c r="AN67" s="22" t="s">
        <v>171</v>
      </c>
      <c r="AO67" s="15" t="s">
        <v>49</v>
      </c>
    </row>
    <row r="68" spans="1:41" ht="12.75">
      <c r="A68" s="2" t="s">
        <v>203</v>
      </c>
      <c r="B68" s="2"/>
      <c r="C68" s="2" t="s">
        <v>204</v>
      </c>
      <c r="D68" s="2" t="s">
        <v>205</v>
      </c>
      <c r="E68" s="2" t="s">
        <v>62</v>
      </c>
      <c r="F68" s="21">
        <v>86</v>
      </c>
      <c r="G68" s="41">
        <v>0</v>
      </c>
      <c r="H68" s="21"/>
      <c r="I68" s="21">
        <f t="shared" si="29"/>
        <v>0</v>
      </c>
      <c r="J68" s="21">
        <v>0.125</v>
      </c>
      <c r="K68" s="21">
        <f t="shared" si="22"/>
        <v>10.75</v>
      </c>
      <c r="L68" s="22" t="s">
        <v>42</v>
      </c>
      <c r="M68" s="21">
        <f t="shared" si="23"/>
        <v>0</v>
      </c>
      <c r="X68" s="21">
        <f t="shared" si="24"/>
        <v>0</v>
      </c>
      <c r="Y68" s="21">
        <f t="shared" si="25"/>
        <v>0</v>
      </c>
      <c r="Z68" s="21">
        <f t="shared" si="26"/>
        <v>0</v>
      </c>
      <c r="AB68" s="21">
        <v>21</v>
      </c>
      <c r="AC68" s="21">
        <f>G68*0.320808080808081</f>
        <v>0</v>
      </c>
      <c r="AD68" s="21">
        <f>G68*(1-0.320808080808081)</f>
        <v>0</v>
      </c>
      <c r="AK68" s="21">
        <f t="shared" si="27"/>
        <v>0</v>
      </c>
      <c r="AL68" s="21">
        <f t="shared" si="28"/>
        <v>0</v>
      </c>
      <c r="AM68" s="22" t="s">
        <v>193</v>
      </c>
      <c r="AN68" s="22" t="s">
        <v>171</v>
      </c>
      <c r="AO68" s="15" t="s">
        <v>49</v>
      </c>
    </row>
    <row r="69" spans="1:41" ht="12.75">
      <c r="A69" s="2" t="s">
        <v>206</v>
      </c>
      <c r="B69" s="2"/>
      <c r="C69" s="2" t="s">
        <v>207</v>
      </c>
      <c r="D69" s="2" t="s">
        <v>208</v>
      </c>
      <c r="E69" s="2" t="s">
        <v>59</v>
      </c>
      <c r="F69" s="21">
        <v>172</v>
      </c>
      <c r="G69" s="41">
        <v>0</v>
      </c>
      <c r="H69" s="21"/>
      <c r="I69" s="21">
        <f t="shared" si="29"/>
        <v>0</v>
      </c>
      <c r="J69" s="21">
        <v>0.00011</v>
      </c>
      <c r="K69" s="21">
        <f t="shared" si="22"/>
        <v>0.01892</v>
      </c>
      <c r="L69" s="22" t="s">
        <v>42</v>
      </c>
      <c r="M69" s="21">
        <f t="shared" si="23"/>
        <v>0</v>
      </c>
      <c r="X69" s="21">
        <f t="shared" si="24"/>
        <v>0</v>
      </c>
      <c r="Y69" s="21">
        <f t="shared" si="25"/>
        <v>0</v>
      </c>
      <c r="Z69" s="21">
        <f t="shared" si="26"/>
        <v>0</v>
      </c>
      <c r="AB69" s="21">
        <v>21</v>
      </c>
      <c r="AC69" s="21">
        <f>G69*0.0343518518518518</f>
        <v>0</v>
      </c>
      <c r="AD69" s="21">
        <f>G69*(1-0.0343518518518518)</f>
        <v>0</v>
      </c>
      <c r="AK69" s="21">
        <f t="shared" si="27"/>
        <v>0</v>
      </c>
      <c r="AL69" s="21">
        <f t="shared" si="28"/>
        <v>0</v>
      </c>
      <c r="AM69" s="22" t="s">
        <v>193</v>
      </c>
      <c r="AN69" s="22" t="s">
        <v>171</v>
      </c>
      <c r="AO69" s="15" t="s">
        <v>49</v>
      </c>
    </row>
    <row r="70" spans="1:35" ht="12.75">
      <c r="A70" s="23"/>
      <c r="B70" s="24"/>
      <c r="C70" s="24" t="s">
        <v>185</v>
      </c>
      <c r="D70" s="64" t="s">
        <v>209</v>
      </c>
      <c r="E70" s="64"/>
      <c r="F70" s="64"/>
      <c r="G70" s="64"/>
      <c r="H70" s="20"/>
      <c r="I70" s="20"/>
      <c r="J70" s="15"/>
      <c r="K70" s="20">
        <f>SUM(K71:K81)</f>
        <v>136.15033960000002</v>
      </c>
      <c r="N70" s="20">
        <f>IF(O70="PR",I70,SUM(M71:M81))</f>
        <v>0</v>
      </c>
      <c r="O70" s="15" t="s">
        <v>41</v>
      </c>
      <c r="P70" s="20" t="e">
        <f>IF(O70="HS",#REF!,0)</f>
        <v>#REF!</v>
      </c>
      <c r="Q70" s="20">
        <f>IF(O70="HS",H70-N70,0)</f>
        <v>0</v>
      </c>
      <c r="R70" s="20">
        <f>IF(O70="PS",#REF!,0)</f>
        <v>0</v>
      </c>
      <c r="S70" s="20">
        <f>IF(O70="PS",H70-N70,0)</f>
        <v>0</v>
      </c>
      <c r="T70" s="20">
        <f>IF(O70="MP",#REF!,0)</f>
        <v>0</v>
      </c>
      <c r="U70" s="20">
        <f>IF(O70="MP",H70-N70,0)</f>
        <v>0</v>
      </c>
      <c r="V70" s="20">
        <f>IF(O70="OM",#REF!,0)</f>
        <v>0</v>
      </c>
      <c r="W70" s="15"/>
      <c r="AG70" s="20">
        <f>SUM(X71:X81)</f>
        <v>0</v>
      </c>
      <c r="AH70" s="20">
        <f>SUM(Y71:Y81)</f>
        <v>0</v>
      </c>
      <c r="AI70" s="20">
        <f>SUM(Z71:Z81)</f>
        <v>0</v>
      </c>
    </row>
    <row r="71" spans="1:41" ht="12.75">
      <c r="A71" s="2" t="s">
        <v>210</v>
      </c>
      <c r="B71" s="2"/>
      <c r="C71" s="2" t="s">
        <v>211</v>
      </c>
      <c r="D71" s="2" t="s">
        <v>212</v>
      </c>
      <c r="E71" s="2" t="s">
        <v>62</v>
      </c>
      <c r="F71" s="21">
        <v>79.23</v>
      </c>
      <c r="G71" s="41">
        <v>0</v>
      </c>
      <c r="H71" s="21"/>
      <c r="I71" s="21">
        <f aca="true" t="shared" si="30" ref="I71:I76">F71*G71</f>
        <v>0</v>
      </c>
      <c r="J71" s="21">
        <v>0.00722</v>
      </c>
      <c r="K71" s="21">
        <f aca="true" t="shared" si="31" ref="K71:K81">F71*J71</f>
        <v>0.5720406</v>
      </c>
      <c r="L71" s="22" t="s">
        <v>42</v>
      </c>
      <c r="M71" s="21">
        <f aca="true" t="shared" si="32" ref="M71:M81">IF(L71="5",H71,0)</f>
        <v>0</v>
      </c>
      <c r="X71" s="21">
        <f aca="true" t="shared" si="33" ref="X71:X81">IF(AB71=0,I71,0)</f>
        <v>0</v>
      </c>
      <c r="Y71" s="21">
        <f aca="true" t="shared" si="34" ref="Y71:Y81">IF(AB71=15,I71,0)</f>
        <v>0</v>
      </c>
      <c r="Z71" s="21">
        <f aca="true" t="shared" si="35" ref="Z71:Z81">IF(AB71=21,I71,0)</f>
        <v>0</v>
      </c>
      <c r="AB71" s="21">
        <v>21</v>
      </c>
      <c r="AC71" s="21">
        <f>G71*0.472525252525253</f>
        <v>0</v>
      </c>
      <c r="AD71" s="21">
        <f>G71*(1-0.472525252525253)</f>
        <v>0</v>
      </c>
      <c r="AK71" s="21">
        <f aca="true" t="shared" si="36" ref="AK71:AK81">F71*AC71</f>
        <v>0</v>
      </c>
      <c r="AL71" s="21">
        <f aca="true" t="shared" si="37" ref="AL71:AL81">F71*AD71</f>
        <v>0</v>
      </c>
      <c r="AM71" s="22" t="s">
        <v>213</v>
      </c>
      <c r="AN71" s="22" t="s">
        <v>214</v>
      </c>
      <c r="AO71" s="15" t="s">
        <v>49</v>
      </c>
    </row>
    <row r="72" spans="1:41" ht="12.75">
      <c r="A72" s="2" t="s">
        <v>215</v>
      </c>
      <c r="B72" s="2"/>
      <c r="C72" s="2" t="s">
        <v>216</v>
      </c>
      <c r="D72" s="2" t="s">
        <v>217</v>
      </c>
      <c r="E72" s="2" t="s">
        <v>62</v>
      </c>
      <c r="F72" s="21">
        <v>19.81</v>
      </c>
      <c r="G72" s="41">
        <v>0</v>
      </c>
      <c r="H72" s="21"/>
      <c r="I72" s="21">
        <f t="shared" si="30"/>
        <v>0</v>
      </c>
      <c r="J72" s="21">
        <v>0</v>
      </c>
      <c r="K72" s="21">
        <f t="shared" si="31"/>
        <v>0</v>
      </c>
      <c r="L72" s="22" t="s">
        <v>42</v>
      </c>
      <c r="M72" s="21">
        <f t="shared" si="32"/>
        <v>0</v>
      </c>
      <c r="X72" s="21">
        <f t="shared" si="33"/>
        <v>0</v>
      </c>
      <c r="Y72" s="21">
        <f t="shared" si="34"/>
        <v>0</v>
      </c>
      <c r="Z72" s="21">
        <f t="shared" si="35"/>
        <v>0</v>
      </c>
      <c r="AB72" s="21">
        <v>21</v>
      </c>
      <c r="AC72" s="21">
        <f>G72*0</f>
        <v>0</v>
      </c>
      <c r="AD72" s="21">
        <f>G72*(1-0)</f>
        <v>0</v>
      </c>
      <c r="AK72" s="21">
        <f t="shared" si="36"/>
        <v>0</v>
      </c>
      <c r="AL72" s="21">
        <f t="shared" si="37"/>
        <v>0</v>
      </c>
      <c r="AM72" s="22" t="s">
        <v>213</v>
      </c>
      <c r="AN72" s="22" t="s">
        <v>214</v>
      </c>
      <c r="AO72" s="15" t="s">
        <v>49</v>
      </c>
    </row>
    <row r="73" spans="1:41" ht="12.75">
      <c r="A73" s="2" t="s">
        <v>218</v>
      </c>
      <c r="B73" s="2"/>
      <c r="C73" s="2" t="s">
        <v>219</v>
      </c>
      <c r="D73" s="2" t="s">
        <v>220</v>
      </c>
      <c r="E73" s="2" t="s">
        <v>62</v>
      </c>
      <c r="F73" s="21">
        <v>79.23</v>
      </c>
      <c r="G73" s="41">
        <v>0</v>
      </c>
      <c r="H73" s="21"/>
      <c r="I73" s="21">
        <f t="shared" si="30"/>
        <v>0</v>
      </c>
      <c r="J73" s="21">
        <v>0</v>
      </c>
      <c r="K73" s="21">
        <f t="shared" si="31"/>
        <v>0</v>
      </c>
      <c r="L73" s="22" t="s">
        <v>42</v>
      </c>
      <c r="M73" s="21">
        <f t="shared" si="32"/>
        <v>0</v>
      </c>
      <c r="X73" s="21">
        <f t="shared" si="33"/>
        <v>0</v>
      </c>
      <c r="Y73" s="21">
        <f t="shared" si="34"/>
        <v>0</v>
      </c>
      <c r="Z73" s="21">
        <f t="shared" si="35"/>
        <v>0</v>
      </c>
      <c r="AB73" s="21">
        <v>21</v>
      </c>
      <c r="AC73" s="21">
        <f>G73*0</f>
        <v>0</v>
      </c>
      <c r="AD73" s="21">
        <f>G73*(1-0)</f>
        <v>0</v>
      </c>
      <c r="AK73" s="21">
        <f t="shared" si="36"/>
        <v>0</v>
      </c>
      <c r="AL73" s="21">
        <f t="shared" si="37"/>
        <v>0</v>
      </c>
      <c r="AM73" s="22" t="s">
        <v>213</v>
      </c>
      <c r="AN73" s="22" t="s">
        <v>214</v>
      </c>
      <c r="AO73" s="15" t="s">
        <v>49</v>
      </c>
    </row>
    <row r="74" spans="1:41" ht="12.75">
      <c r="A74" s="2" t="s">
        <v>221</v>
      </c>
      <c r="B74" s="2"/>
      <c r="C74" s="2" t="s">
        <v>222</v>
      </c>
      <c r="D74" s="2" t="s">
        <v>223</v>
      </c>
      <c r="E74" s="2" t="s">
        <v>59</v>
      </c>
      <c r="F74" s="21">
        <v>6</v>
      </c>
      <c r="G74" s="41">
        <v>0</v>
      </c>
      <c r="H74" s="21"/>
      <c r="I74" s="21">
        <f t="shared" si="30"/>
        <v>0</v>
      </c>
      <c r="J74" s="21">
        <v>0.36935</v>
      </c>
      <c r="K74" s="21">
        <f t="shared" si="31"/>
        <v>2.2161</v>
      </c>
      <c r="L74" s="22" t="s">
        <v>42</v>
      </c>
      <c r="M74" s="21">
        <f t="shared" si="32"/>
        <v>0</v>
      </c>
      <c r="X74" s="21">
        <f t="shared" si="33"/>
        <v>0</v>
      </c>
      <c r="Y74" s="21">
        <f t="shared" si="34"/>
        <v>0</v>
      </c>
      <c r="Z74" s="21">
        <f t="shared" si="35"/>
        <v>0</v>
      </c>
      <c r="AB74" s="21">
        <v>21</v>
      </c>
      <c r="AC74" s="21">
        <f>G74*0.208109438521726</f>
        <v>0</v>
      </c>
      <c r="AD74" s="21">
        <f>G74*(1-0.208109438521726)</f>
        <v>0</v>
      </c>
      <c r="AK74" s="21">
        <f t="shared" si="36"/>
        <v>0</v>
      </c>
      <c r="AL74" s="21">
        <f t="shared" si="37"/>
        <v>0</v>
      </c>
      <c r="AM74" s="22" t="s">
        <v>213</v>
      </c>
      <c r="AN74" s="22" t="s">
        <v>214</v>
      </c>
      <c r="AO74" s="15" t="s">
        <v>49</v>
      </c>
    </row>
    <row r="75" spans="1:41" ht="12.75">
      <c r="A75" s="2" t="s">
        <v>224</v>
      </c>
      <c r="B75" s="2"/>
      <c r="C75" s="2" t="s">
        <v>225</v>
      </c>
      <c r="D75" s="2" t="s">
        <v>226</v>
      </c>
      <c r="E75" s="2" t="s">
        <v>59</v>
      </c>
      <c r="F75" s="21">
        <v>6</v>
      </c>
      <c r="G75" s="41">
        <v>0</v>
      </c>
      <c r="H75" s="21"/>
      <c r="I75" s="21">
        <f t="shared" si="30"/>
        <v>0</v>
      </c>
      <c r="J75" s="21">
        <v>0.068</v>
      </c>
      <c r="K75" s="21">
        <f t="shared" si="31"/>
        <v>0.40800000000000003</v>
      </c>
      <c r="L75" s="22" t="s">
        <v>227</v>
      </c>
      <c r="M75" s="21">
        <f t="shared" si="32"/>
        <v>0</v>
      </c>
      <c r="X75" s="21">
        <f t="shared" si="33"/>
        <v>0</v>
      </c>
      <c r="Y75" s="21">
        <f t="shared" si="34"/>
        <v>0</v>
      </c>
      <c r="Z75" s="21">
        <f t="shared" si="35"/>
        <v>0</v>
      </c>
      <c r="AB75" s="21">
        <v>21</v>
      </c>
      <c r="AC75" s="21">
        <f>G75*1</f>
        <v>0</v>
      </c>
      <c r="AD75" s="21">
        <f>G75*(1-1)</f>
        <v>0</v>
      </c>
      <c r="AK75" s="21">
        <f t="shared" si="36"/>
        <v>0</v>
      </c>
      <c r="AL75" s="21">
        <f t="shared" si="37"/>
        <v>0</v>
      </c>
      <c r="AM75" s="22" t="s">
        <v>213</v>
      </c>
      <c r="AN75" s="22" t="s">
        <v>214</v>
      </c>
      <c r="AO75" s="15" t="s">
        <v>49</v>
      </c>
    </row>
    <row r="76" spans="1:41" ht="12.75">
      <c r="A76" s="2" t="s">
        <v>228</v>
      </c>
      <c r="B76" s="2"/>
      <c r="C76" s="2" t="s">
        <v>229</v>
      </c>
      <c r="D76" s="2" t="s">
        <v>230</v>
      </c>
      <c r="E76" s="2" t="s">
        <v>84</v>
      </c>
      <c r="F76" s="21">
        <v>50.4</v>
      </c>
      <c r="G76" s="41">
        <v>0</v>
      </c>
      <c r="H76" s="21"/>
      <c r="I76" s="21">
        <f t="shared" si="30"/>
        <v>0</v>
      </c>
      <c r="J76" s="21">
        <v>2.52515</v>
      </c>
      <c r="K76" s="21">
        <f t="shared" si="31"/>
        <v>127.26756</v>
      </c>
      <c r="L76" s="22" t="s">
        <v>42</v>
      </c>
      <c r="M76" s="21">
        <f t="shared" si="32"/>
        <v>0</v>
      </c>
      <c r="X76" s="21">
        <f t="shared" si="33"/>
        <v>0</v>
      </c>
      <c r="Y76" s="21">
        <f t="shared" si="34"/>
        <v>0</v>
      </c>
      <c r="Z76" s="21">
        <f t="shared" si="35"/>
        <v>0</v>
      </c>
      <c r="AB76" s="21">
        <v>21</v>
      </c>
      <c r="AC76" s="21">
        <f>G76*0.895952380952381</f>
        <v>0</v>
      </c>
      <c r="AD76" s="21">
        <f>G76*(1-0.895952380952381)</f>
        <v>0</v>
      </c>
      <c r="AK76" s="21">
        <f t="shared" si="36"/>
        <v>0</v>
      </c>
      <c r="AL76" s="21">
        <f t="shared" si="37"/>
        <v>0</v>
      </c>
      <c r="AM76" s="22" t="s">
        <v>213</v>
      </c>
      <c r="AN76" s="22" t="s">
        <v>214</v>
      </c>
      <c r="AO76" s="15" t="s">
        <v>49</v>
      </c>
    </row>
    <row r="77" spans="1:41" ht="12.75">
      <c r="A77" s="2" t="s">
        <v>231</v>
      </c>
      <c r="B77" s="2"/>
      <c r="C77" s="2" t="s">
        <v>232</v>
      </c>
      <c r="D77" s="2" t="s">
        <v>233</v>
      </c>
      <c r="E77" s="2" t="s">
        <v>45</v>
      </c>
      <c r="F77" s="21">
        <v>5.46</v>
      </c>
      <c r="G77" s="41">
        <v>0</v>
      </c>
      <c r="H77" s="21"/>
      <c r="I77" s="21">
        <f aca="true" t="shared" si="38" ref="I77:I81">F77*G77</f>
        <v>0</v>
      </c>
      <c r="J77" s="21">
        <v>1.03739</v>
      </c>
      <c r="K77" s="21">
        <f t="shared" si="31"/>
        <v>5.6641494</v>
      </c>
      <c r="L77" s="22" t="s">
        <v>42</v>
      </c>
      <c r="M77" s="21">
        <f t="shared" si="32"/>
        <v>0</v>
      </c>
      <c r="X77" s="21">
        <f t="shared" si="33"/>
        <v>0</v>
      </c>
      <c r="Y77" s="21">
        <f t="shared" si="34"/>
        <v>0</v>
      </c>
      <c r="Z77" s="21">
        <f t="shared" si="35"/>
        <v>0</v>
      </c>
      <c r="AB77" s="21">
        <v>21</v>
      </c>
      <c r="AC77" s="21">
        <f>G77*0.537755392032479</f>
        <v>0</v>
      </c>
      <c r="AD77" s="21">
        <f>G77*(1-0.537755392032479)</f>
        <v>0</v>
      </c>
      <c r="AK77" s="21">
        <f t="shared" si="36"/>
        <v>0</v>
      </c>
      <c r="AL77" s="21">
        <f t="shared" si="37"/>
        <v>0</v>
      </c>
      <c r="AM77" s="22" t="s">
        <v>213</v>
      </c>
      <c r="AN77" s="22" t="s">
        <v>214</v>
      </c>
      <c r="AO77" s="15" t="s">
        <v>49</v>
      </c>
    </row>
    <row r="78" spans="1:41" ht="12.75">
      <c r="A78" s="2" t="s">
        <v>234</v>
      </c>
      <c r="B78" s="2"/>
      <c r="C78" s="2" t="s">
        <v>235</v>
      </c>
      <c r="D78" s="2" t="s">
        <v>236</v>
      </c>
      <c r="E78" s="2" t="s">
        <v>62</v>
      </c>
      <c r="F78" s="21">
        <v>2.56</v>
      </c>
      <c r="G78" s="41">
        <v>0</v>
      </c>
      <c r="H78" s="21"/>
      <c r="I78" s="21">
        <f t="shared" si="38"/>
        <v>0</v>
      </c>
      <c r="J78" s="21">
        <v>0</v>
      </c>
      <c r="K78" s="21">
        <f t="shared" si="31"/>
        <v>0</v>
      </c>
      <c r="L78" s="22" t="s">
        <v>42</v>
      </c>
      <c r="M78" s="21">
        <f t="shared" si="32"/>
        <v>0</v>
      </c>
      <c r="X78" s="21">
        <f t="shared" si="33"/>
        <v>0</v>
      </c>
      <c r="Y78" s="21">
        <f t="shared" si="34"/>
        <v>0</v>
      </c>
      <c r="Z78" s="21">
        <f t="shared" si="35"/>
        <v>0</v>
      </c>
      <c r="AB78" s="21">
        <v>21</v>
      </c>
      <c r="AC78" s="21">
        <f>G78*0</f>
        <v>0</v>
      </c>
      <c r="AD78" s="21">
        <f>G78*(1-0)</f>
        <v>0</v>
      </c>
      <c r="AK78" s="21">
        <f t="shared" si="36"/>
        <v>0</v>
      </c>
      <c r="AL78" s="21">
        <f t="shared" si="37"/>
        <v>0</v>
      </c>
      <c r="AM78" s="22" t="s">
        <v>213</v>
      </c>
      <c r="AN78" s="22" t="s">
        <v>214</v>
      </c>
      <c r="AO78" s="15" t="s">
        <v>49</v>
      </c>
    </row>
    <row r="79" spans="1:41" ht="12.75">
      <c r="A79" s="2" t="s">
        <v>237</v>
      </c>
      <c r="B79" s="2"/>
      <c r="C79" s="2" t="s">
        <v>238</v>
      </c>
      <c r="D79" s="2" t="s">
        <v>239</v>
      </c>
      <c r="E79" s="2" t="s">
        <v>62</v>
      </c>
      <c r="F79" s="21">
        <v>8.67</v>
      </c>
      <c r="G79" s="41">
        <v>0</v>
      </c>
      <c r="H79" s="21"/>
      <c r="I79" s="21">
        <f t="shared" si="38"/>
        <v>0</v>
      </c>
      <c r="J79" s="21">
        <v>0</v>
      </c>
      <c r="K79" s="21">
        <f t="shared" si="31"/>
        <v>0</v>
      </c>
      <c r="L79" s="22" t="s">
        <v>42</v>
      </c>
      <c r="M79" s="21">
        <f t="shared" si="32"/>
        <v>0</v>
      </c>
      <c r="X79" s="21">
        <f t="shared" si="33"/>
        <v>0</v>
      </c>
      <c r="Y79" s="21">
        <f t="shared" si="34"/>
        <v>0</v>
      </c>
      <c r="Z79" s="21">
        <f t="shared" si="35"/>
        <v>0</v>
      </c>
      <c r="AB79" s="21">
        <v>21</v>
      </c>
      <c r="AC79" s="21">
        <f>G79*0</f>
        <v>0</v>
      </c>
      <c r="AD79" s="21">
        <f>G79*(1-0)</f>
        <v>0</v>
      </c>
      <c r="AK79" s="21">
        <f t="shared" si="36"/>
        <v>0</v>
      </c>
      <c r="AL79" s="21">
        <f t="shared" si="37"/>
        <v>0</v>
      </c>
      <c r="AM79" s="22" t="s">
        <v>213</v>
      </c>
      <c r="AN79" s="22" t="s">
        <v>214</v>
      </c>
      <c r="AO79" s="15" t="s">
        <v>49</v>
      </c>
    </row>
    <row r="80" spans="1:41" ht="12.75">
      <c r="A80" s="2" t="s">
        <v>240</v>
      </c>
      <c r="B80" s="2"/>
      <c r="C80" s="2" t="s">
        <v>241</v>
      </c>
      <c r="D80" s="2" t="s">
        <v>242</v>
      </c>
      <c r="E80" s="2" t="s">
        <v>62</v>
      </c>
      <c r="F80" s="21">
        <v>8.96</v>
      </c>
      <c r="G80" s="41">
        <v>0</v>
      </c>
      <c r="H80" s="21"/>
      <c r="I80" s="21">
        <f t="shared" si="38"/>
        <v>0</v>
      </c>
      <c r="J80" s="21">
        <v>0.00251</v>
      </c>
      <c r="K80" s="21">
        <f t="shared" si="31"/>
        <v>0.022489600000000002</v>
      </c>
      <c r="L80" s="22" t="s">
        <v>42</v>
      </c>
      <c r="M80" s="21">
        <f t="shared" si="32"/>
        <v>0</v>
      </c>
      <c r="X80" s="21">
        <f t="shared" si="33"/>
        <v>0</v>
      </c>
      <c r="Y80" s="21">
        <f t="shared" si="34"/>
        <v>0</v>
      </c>
      <c r="Z80" s="21">
        <f t="shared" si="35"/>
        <v>0</v>
      </c>
      <c r="AB80" s="21">
        <v>21</v>
      </c>
      <c r="AC80" s="21">
        <f>G80*0.0582529572338489</f>
        <v>0</v>
      </c>
      <c r="AD80" s="21">
        <f>G80*(1-0.0582529572338489)</f>
        <v>0</v>
      </c>
      <c r="AK80" s="21">
        <f t="shared" si="36"/>
        <v>0</v>
      </c>
      <c r="AL80" s="21">
        <f t="shared" si="37"/>
        <v>0</v>
      </c>
      <c r="AM80" s="22" t="s">
        <v>213</v>
      </c>
      <c r="AN80" s="22" t="s">
        <v>214</v>
      </c>
      <c r="AO80" s="15" t="s">
        <v>49</v>
      </c>
    </row>
    <row r="81" spans="1:41" ht="12.75">
      <c r="A81" s="2" t="s">
        <v>243</v>
      </c>
      <c r="B81" s="2"/>
      <c r="C81" s="2" t="s">
        <v>244</v>
      </c>
      <c r="D81" s="2" t="s">
        <v>245</v>
      </c>
      <c r="E81" s="2" t="s">
        <v>62</v>
      </c>
      <c r="F81" s="21">
        <v>8.96</v>
      </c>
      <c r="G81" s="41">
        <v>0</v>
      </c>
      <c r="H81" s="21"/>
      <c r="I81" s="21">
        <f t="shared" si="38"/>
        <v>0</v>
      </c>
      <c r="J81" s="21">
        <v>0</v>
      </c>
      <c r="K81" s="21">
        <f t="shared" si="31"/>
        <v>0</v>
      </c>
      <c r="L81" s="22" t="s">
        <v>42</v>
      </c>
      <c r="M81" s="21">
        <f t="shared" si="32"/>
        <v>0</v>
      </c>
      <c r="X81" s="21">
        <f t="shared" si="33"/>
        <v>0</v>
      </c>
      <c r="Y81" s="21">
        <f t="shared" si="34"/>
        <v>0</v>
      </c>
      <c r="Z81" s="21">
        <f t="shared" si="35"/>
        <v>0</v>
      </c>
      <c r="AB81" s="21">
        <v>21</v>
      </c>
      <c r="AC81" s="21">
        <f>G81*0</f>
        <v>0</v>
      </c>
      <c r="AD81" s="21">
        <f>G81*(1-0)</f>
        <v>0</v>
      </c>
      <c r="AK81" s="21">
        <f t="shared" si="36"/>
        <v>0</v>
      </c>
      <c r="AL81" s="21">
        <f t="shared" si="37"/>
        <v>0</v>
      </c>
      <c r="AM81" s="22" t="s">
        <v>213</v>
      </c>
      <c r="AN81" s="22" t="s">
        <v>214</v>
      </c>
      <c r="AO81" s="15" t="s">
        <v>49</v>
      </c>
    </row>
    <row r="82" spans="1:35" ht="12.75">
      <c r="A82" s="23"/>
      <c r="B82" s="24"/>
      <c r="C82" s="24" t="s">
        <v>200</v>
      </c>
      <c r="D82" s="64" t="s">
        <v>246</v>
      </c>
      <c r="E82" s="64"/>
      <c r="F82" s="64"/>
      <c r="G82" s="64"/>
      <c r="H82" s="20"/>
      <c r="I82" s="20"/>
      <c r="J82" s="15"/>
      <c r="K82" s="20">
        <f>SUM(K83:K84)</f>
        <v>12.3692121</v>
      </c>
      <c r="N82" s="20">
        <f>IF(O82="PR",I82,SUM(M83:M84))</f>
        <v>0</v>
      </c>
      <c r="O82" s="15" t="s">
        <v>41</v>
      </c>
      <c r="P82" s="20" t="e">
        <f>IF(O82="HS",#REF!,0)</f>
        <v>#REF!</v>
      </c>
      <c r="Q82" s="20">
        <f>IF(O82="HS",H82-N82,0)</f>
        <v>0</v>
      </c>
      <c r="R82" s="20">
        <f>IF(O82="PS",#REF!,0)</f>
        <v>0</v>
      </c>
      <c r="S82" s="20">
        <f>IF(O82="PS",H82-N82,0)</f>
        <v>0</v>
      </c>
      <c r="T82" s="20">
        <f>IF(O82="MP",#REF!,0)</f>
        <v>0</v>
      </c>
      <c r="U82" s="20">
        <f>IF(O82="MP",H82-N82,0)</f>
        <v>0</v>
      </c>
      <c r="V82" s="20">
        <f>IF(O82="OM",#REF!,0)</f>
        <v>0</v>
      </c>
      <c r="W82" s="15"/>
      <c r="AG82" s="20">
        <f>SUM(X83:X84)</f>
        <v>0</v>
      </c>
      <c r="AH82" s="20">
        <f>SUM(Y83:Y84)</f>
        <v>0</v>
      </c>
      <c r="AI82" s="20">
        <f>SUM(Z83:Z84)</f>
        <v>0</v>
      </c>
    </row>
    <row r="83" spans="1:41" ht="12.75">
      <c r="A83" s="2" t="s">
        <v>247</v>
      </c>
      <c r="B83" s="2"/>
      <c r="C83" s="2" t="s">
        <v>248</v>
      </c>
      <c r="D83" s="2" t="s">
        <v>249</v>
      </c>
      <c r="E83" s="2" t="s">
        <v>84</v>
      </c>
      <c r="F83" s="21">
        <v>2.46</v>
      </c>
      <c r="G83" s="41">
        <v>0</v>
      </c>
      <c r="H83" s="21"/>
      <c r="I83" s="21">
        <f aca="true" t="shared" si="39" ref="I83:I84">F83*G83</f>
        <v>0</v>
      </c>
      <c r="J83" s="21">
        <v>2.75166</v>
      </c>
      <c r="K83" s="21">
        <f>F83*J83</f>
        <v>6.7690836</v>
      </c>
      <c r="L83" s="22" t="s">
        <v>42</v>
      </c>
      <c r="M83" s="21">
        <f>IF(L83="5",H83,0)</f>
        <v>0</v>
      </c>
      <c r="X83" s="21">
        <f>IF(AB83=0,I83,0)</f>
        <v>0</v>
      </c>
      <c r="Y83" s="21">
        <f>IF(AB83=15,I83,0)</f>
        <v>0</v>
      </c>
      <c r="Z83" s="21">
        <f>IF(AB83=21,I83,0)</f>
        <v>0</v>
      </c>
      <c r="AB83" s="21">
        <v>21</v>
      </c>
      <c r="AC83" s="21">
        <f>G83*0.872364365886757</f>
        <v>0</v>
      </c>
      <c r="AD83" s="21">
        <f>G83*(1-0.872364365886757)</f>
        <v>0</v>
      </c>
      <c r="AK83" s="21">
        <f>F83*AC83</f>
        <v>0</v>
      </c>
      <c r="AL83" s="21">
        <f>F83*AD83</f>
        <v>0</v>
      </c>
      <c r="AM83" s="22" t="s">
        <v>250</v>
      </c>
      <c r="AN83" s="22" t="s">
        <v>214</v>
      </c>
      <c r="AO83" s="15" t="s">
        <v>49</v>
      </c>
    </row>
    <row r="84" spans="1:41" ht="12.75">
      <c r="A84" s="2" t="s">
        <v>251</v>
      </c>
      <c r="B84" s="2"/>
      <c r="C84" s="2" t="s">
        <v>252</v>
      </c>
      <c r="D84" s="2" t="s">
        <v>253</v>
      </c>
      <c r="E84" s="2" t="s">
        <v>62</v>
      </c>
      <c r="F84" s="21">
        <v>6.15</v>
      </c>
      <c r="G84" s="41">
        <v>0</v>
      </c>
      <c r="H84" s="21"/>
      <c r="I84" s="21">
        <f t="shared" si="39"/>
        <v>0</v>
      </c>
      <c r="J84" s="21">
        <v>0.91059</v>
      </c>
      <c r="K84" s="21">
        <f>F84*J84</f>
        <v>5.6001285</v>
      </c>
      <c r="L84" s="22" t="s">
        <v>42</v>
      </c>
      <c r="M84" s="21">
        <f>IF(L84="5",H84,0)</f>
        <v>0</v>
      </c>
      <c r="X84" s="21">
        <f>IF(AB84=0,I84,0)</f>
        <v>0</v>
      </c>
      <c r="Y84" s="21">
        <f>IF(AB84=15,I84,0)</f>
        <v>0</v>
      </c>
      <c r="Z84" s="21">
        <f>IF(AB84=21,I84,0)</f>
        <v>0</v>
      </c>
      <c r="AB84" s="21">
        <v>21</v>
      </c>
      <c r="AC84" s="21">
        <f>G84*0.581135101789019</f>
        <v>0</v>
      </c>
      <c r="AD84" s="21">
        <f>G84*(1-0.581135101789019)</f>
        <v>0</v>
      </c>
      <c r="AK84" s="21">
        <f>F84*AC84</f>
        <v>0</v>
      </c>
      <c r="AL84" s="21">
        <f>F84*AD84</f>
        <v>0</v>
      </c>
      <c r="AM84" s="22" t="s">
        <v>250</v>
      </c>
      <c r="AN84" s="22" t="s">
        <v>214</v>
      </c>
      <c r="AO84" s="15" t="s">
        <v>49</v>
      </c>
    </row>
    <row r="85" spans="1:35" ht="12.75">
      <c r="A85" s="23"/>
      <c r="B85" s="24"/>
      <c r="C85" s="24" t="s">
        <v>234</v>
      </c>
      <c r="D85" s="64" t="s">
        <v>254</v>
      </c>
      <c r="E85" s="64"/>
      <c r="F85" s="64"/>
      <c r="G85" s="64"/>
      <c r="H85" s="20"/>
      <c r="I85" s="20"/>
      <c r="J85" s="15"/>
      <c r="K85" s="20">
        <f>SUM(K86:K90)</f>
        <v>71.2132864</v>
      </c>
      <c r="N85" s="20">
        <f>IF(O85="PR",I85,SUM(M86:M90))</f>
        <v>0</v>
      </c>
      <c r="O85" s="15" t="s">
        <v>41</v>
      </c>
      <c r="P85" s="20" t="e">
        <f>IF(O85="HS",#REF!,0)</f>
        <v>#REF!</v>
      </c>
      <c r="Q85" s="20">
        <f>IF(O85="HS",H85-N85,0)</f>
        <v>0</v>
      </c>
      <c r="R85" s="20">
        <f>IF(O85="PS",#REF!,0)</f>
        <v>0</v>
      </c>
      <c r="S85" s="20">
        <f>IF(O85="PS",H85-N85,0)</f>
        <v>0</v>
      </c>
      <c r="T85" s="20">
        <f>IF(O85="MP",#REF!,0)</f>
        <v>0</v>
      </c>
      <c r="U85" s="20">
        <f>IF(O85="MP",H85-N85,0)</f>
        <v>0</v>
      </c>
      <c r="V85" s="20">
        <f>IF(O85="OM",#REF!,0)</f>
        <v>0</v>
      </c>
      <c r="W85" s="15"/>
      <c r="AG85" s="20">
        <f>SUM(X86:X90)</f>
        <v>0</v>
      </c>
      <c r="AH85" s="20">
        <f>SUM(Y86:Y90)</f>
        <v>0</v>
      </c>
      <c r="AI85" s="20">
        <f>SUM(Z86:Z90)</f>
        <v>0</v>
      </c>
    </row>
    <row r="86" spans="1:41" ht="12.75">
      <c r="A86" s="2" t="s">
        <v>255</v>
      </c>
      <c r="B86" s="2"/>
      <c r="C86" s="2" t="s">
        <v>256</v>
      </c>
      <c r="D86" s="2" t="s">
        <v>257</v>
      </c>
      <c r="E86" s="2" t="s">
        <v>84</v>
      </c>
      <c r="F86" s="21">
        <v>7.84</v>
      </c>
      <c r="G86" s="41">
        <v>0</v>
      </c>
      <c r="H86" s="21"/>
      <c r="I86" s="21">
        <f aca="true" t="shared" si="40" ref="I86:I90">F86*G86</f>
        <v>0</v>
      </c>
      <c r="J86" s="21">
        <v>2.5</v>
      </c>
      <c r="K86" s="21">
        <f>F86*J86</f>
        <v>19.6</v>
      </c>
      <c r="L86" s="22" t="s">
        <v>42</v>
      </c>
      <c r="M86" s="21">
        <f>IF(L86="5",H86,0)</f>
        <v>0</v>
      </c>
      <c r="X86" s="21">
        <f>IF(AB86=0,I86,0)</f>
        <v>0</v>
      </c>
      <c r="Y86" s="21">
        <f>IF(AB86=15,I86,0)</f>
        <v>0</v>
      </c>
      <c r="Z86" s="21">
        <f>IF(AB86=21,I86,0)</f>
        <v>0</v>
      </c>
      <c r="AB86" s="21">
        <v>21</v>
      </c>
      <c r="AC86" s="21">
        <f>G86*0.850974683544304</f>
        <v>0</v>
      </c>
      <c r="AD86" s="21">
        <f>G86*(1-0.850974683544304)</f>
        <v>0</v>
      </c>
      <c r="AK86" s="21">
        <f>F86*AC86</f>
        <v>0</v>
      </c>
      <c r="AL86" s="21">
        <f>F86*AD86</f>
        <v>0</v>
      </c>
      <c r="AM86" s="22" t="s">
        <v>258</v>
      </c>
      <c r="AN86" s="22" t="s">
        <v>259</v>
      </c>
      <c r="AO86" s="15" t="s">
        <v>49</v>
      </c>
    </row>
    <row r="87" spans="1:41" ht="12.75">
      <c r="A87" s="2" t="s">
        <v>260</v>
      </c>
      <c r="B87" s="2"/>
      <c r="C87" s="2" t="s">
        <v>261</v>
      </c>
      <c r="D87" s="2" t="s">
        <v>262</v>
      </c>
      <c r="E87" s="2" t="s">
        <v>62</v>
      </c>
      <c r="F87" s="21">
        <v>39.96</v>
      </c>
      <c r="G87" s="41">
        <v>0</v>
      </c>
      <c r="H87" s="21"/>
      <c r="I87" s="21">
        <f t="shared" si="40"/>
        <v>0</v>
      </c>
      <c r="J87" s="21">
        <v>0.30361</v>
      </c>
      <c r="K87" s="21">
        <f>F87*J87</f>
        <v>12.1322556</v>
      </c>
      <c r="L87" s="22" t="s">
        <v>42</v>
      </c>
      <c r="M87" s="21">
        <f>IF(L87="5",H87,0)</f>
        <v>0</v>
      </c>
      <c r="X87" s="21">
        <f>IF(AB87=0,I87,0)</f>
        <v>0</v>
      </c>
      <c r="Y87" s="21">
        <f>IF(AB87=15,I87,0)</f>
        <v>0</v>
      </c>
      <c r="Z87" s="21">
        <f>IF(AB87=21,I87,0)</f>
        <v>0</v>
      </c>
      <c r="AB87" s="21">
        <v>21</v>
      </c>
      <c r="AC87" s="21">
        <f>G87*0.852999715666761</f>
        <v>0</v>
      </c>
      <c r="AD87" s="21">
        <f>G87*(1-0.852999715666761)</f>
        <v>0</v>
      </c>
      <c r="AK87" s="21">
        <f>F87*AC87</f>
        <v>0</v>
      </c>
      <c r="AL87" s="21">
        <f>F87*AD87</f>
        <v>0</v>
      </c>
      <c r="AM87" s="22" t="s">
        <v>258</v>
      </c>
      <c r="AN87" s="22" t="s">
        <v>259</v>
      </c>
      <c r="AO87" s="15" t="s">
        <v>49</v>
      </c>
    </row>
    <row r="88" spans="1:41" ht="12.75">
      <c r="A88" s="2" t="s">
        <v>263</v>
      </c>
      <c r="B88" s="2"/>
      <c r="C88" s="2" t="s">
        <v>264</v>
      </c>
      <c r="D88" s="2" t="s">
        <v>265</v>
      </c>
      <c r="E88" s="2" t="s">
        <v>62</v>
      </c>
      <c r="F88" s="21">
        <v>23.76</v>
      </c>
      <c r="G88" s="41">
        <v>0</v>
      </c>
      <c r="H88" s="21"/>
      <c r="I88" s="21">
        <f t="shared" si="40"/>
        <v>0</v>
      </c>
      <c r="J88" s="21">
        <v>0.63291</v>
      </c>
      <c r="K88" s="21">
        <f>F88*J88</f>
        <v>15.0379416</v>
      </c>
      <c r="L88" s="22" t="s">
        <v>42</v>
      </c>
      <c r="M88" s="21">
        <f>IF(L88="5",H88,0)</f>
        <v>0</v>
      </c>
      <c r="X88" s="21">
        <f>IF(AB88=0,I88,0)</f>
        <v>0</v>
      </c>
      <c r="Y88" s="21">
        <f>IF(AB88=15,I88,0)</f>
        <v>0</v>
      </c>
      <c r="Z88" s="21">
        <f>IF(AB88=21,I88,0)</f>
        <v>0</v>
      </c>
      <c r="AB88" s="21">
        <v>21</v>
      </c>
      <c r="AC88" s="21">
        <f>G88*0.888614925373134</f>
        <v>0</v>
      </c>
      <c r="AD88" s="21">
        <f>G88*(1-0.888614925373134)</f>
        <v>0</v>
      </c>
      <c r="AK88" s="21">
        <f>F88*AC88</f>
        <v>0</v>
      </c>
      <c r="AL88" s="21">
        <f>F88*AD88</f>
        <v>0</v>
      </c>
      <c r="AM88" s="22" t="s">
        <v>258</v>
      </c>
      <c r="AN88" s="22" t="s">
        <v>259</v>
      </c>
      <c r="AO88" s="15" t="s">
        <v>49</v>
      </c>
    </row>
    <row r="89" spans="1:41" ht="12.75">
      <c r="A89" s="2" t="s">
        <v>266</v>
      </c>
      <c r="B89" s="2"/>
      <c r="C89" s="2" t="s">
        <v>267</v>
      </c>
      <c r="D89" s="2" t="s">
        <v>268</v>
      </c>
      <c r="E89" s="2" t="s">
        <v>62</v>
      </c>
      <c r="F89" s="21">
        <v>39.96</v>
      </c>
      <c r="G89" s="41">
        <v>0</v>
      </c>
      <c r="H89" s="21"/>
      <c r="I89" s="21">
        <f t="shared" si="40"/>
        <v>0</v>
      </c>
      <c r="J89" s="21">
        <v>0.23737</v>
      </c>
      <c r="K89" s="21">
        <f>F89*J89</f>
        <v>9.4853052</v>
      </c>
      <c r="L89" s="22" t="s">
        <v>42</v>
      </c>
      <c r="M89" s="21">
        <f>IF(L89="5",H89,0)</f>
        <v>0</v>
      </c>
      <c r="X89" s="21">
        <f>IF(AB89=0,I89,0)</f>
        <v>0</v>
      </c>
      <c r="Y89" s="21">
        <f>IF(AB89=15,I89,0)</f>
        <v>0</v>
      </c>
      <c r="Z89" s="21">
        <f>IF(AB89=21,I89,0)</f>
        <v>0</v>
      </c>
      <c r="AB89" s="21">
        <v>21</v>
      </c>
      <c r="AC89" s="21">
        <f>G89*0.884522309553809</f>
        <v>0</v>
      </c>
      <c r="AD89" s="21">
        <f>G89*(1-0.884522309553809)</f>
        <v>0</v>
      </c>
      <c r="AK89" s="21">
        <f>F89*AC89</f>
        <v>0</v>
      </c>
      <c r="AL89" s="21">
        <f>F89*AD89</f>
        <v>0</v>
      </c>
      <c r="AM89" s="22" t="s">
        <v>258</v>
      </c>
      <c r="AN89" s="22" t="s">
        <v>259</v>
      </c>
      <c r="AO89" s="15" t="s">
        <v>49</v>
      </c>
    </row>
    <row r="90" spans="1:41" ht="12.75">
      <c r="A90" s="2" t="s">
        <v>269</v>
      </c>
      <c r="B90" s="2"/>
      <c r="C90" s="2" t="s">
        <v>270</v>
      </c>
      <c r="D90" s="2" t="s">
        <v>271</v>
      </c>
      <c r="E90" s="2" t="s">
        <v>62</v>
      </c>
      <c r="F90" s="21">
        <v>32.4</v>
      </c>
      <c r="G90" s="41">
        <v>0</v>
      </c>
      <c r="H90" s="21"/>
      <c r="I90" s="21">
        <f t="shared" si="40"/>
        <v>0</v>
      </c>
      <c r="J90" s="21">
        <v>0.46166</v>
      </c>
      <c r="K90" s="21">
        <f>F90*J90</f>
        <v>14.957784</v>
      </c>
      <c r="L90" s="22" t="s">
        <v>42</v>
      </c>
      <c r="M90" s="21">
        <f>IF(L90="5",H90,0)</f>
        <v>0</v>
      </c>
      <c r="X90" s="21">
        <f>IF(AB90=0,I90,0)</f>
        <v>0</v>
      </c>
      <c r="Y90" s="21">
        <f>IF(AB90=15,I90,0)</f>
        <v>0</v>
      </c>
      <c r="Z90" s="21">
        <f>IF(AB90=21,I90,0)</f>
        <v>0</v>
      </c>
      <c r="AB90" s="21">
        <v>21</v>
      </c>
      <c r="AC90" s="21">
        <f>G90*0.871853546910755</f>
        <v>0</v>
      </c>
      <c r="AD90" s="21">
        <f>G90*(1-0.871853546910755)</f>
        <v>0</v>
      </c>
      <c r="AK90" s="21">
        <f>F90*AC90</f>
        <v>0</v>
      </c>
      <c r="AL90" s="21">
        <f>F90*AD90</f>
        <v>0</v>
      </c>
      <c r="AM90" s="22" t="s">
        <v>258</v>
      </c>
      <c r="AN90" s="22" t="s">
        <v>259</v>
      </c>
      <c r="AO90" s="15" t="s">
        <v>49</v>
      </c>
    </row>
    <row r="91" spans="1:35" ht="12.75">
      <c r="A91" s="23"/>
      <c r="B91" s="24"/>
      <c r="C91" s="24" t="s">
        <v>237</v>
      </c>
      <c r="D91" s="64" t="s">
        <v>272</v>
      </c>
      <c r="E91" s="64"/>
      <c r="F91" s="64"/>
      <c r="G91" s="64"/>
      <c r="H91" s="20"/>
      <c r="I91" s="20"/>
      <c r="J91" s="15"/>
      <c r="K91" s="20">
        <f>SUM(K92:K96)</f>
        <v>29.9937583</v>
      </c>
      <c r="N91" s="20">
        <f>IF(O91="PR",I91,SUM(M92:M96))</f>
        <v>0</v>
      </c>
      <c r="O91" s="15" t="s">
        <v>41</v>
      </c>
      <c r="P91" s="20" t="e">
        <f>IF(O91="HS",#REF!,0)</f>
        <v>#REF!</v>
      </c>
      <c r="Q91" s="20">
        <f>IF(O91="HS",H91-N91,0)</f>
        <v>0</v>
      </c>
      <c r="R91" s="20">
        <f>IF(O91="PS",#REF!,0)</f>
        <v>0</v>
      </c>
      <c r="S91" s="20">
        <f>IF(O91="PS",H91-N91,0)</f>
        <v>0</v>
      </c>
      <c r="T91" s="20">
        <f>IF(O91="MP",#REF!,0)</f>
        <v>0</v>
      </c>
      <c r="U91" s="20">
        <f>IF(O91="MP",H91-N91,0)</f>
        <v>0</v>
      </c>
      <c r="V91" s="20">
        <f>IF(O91="OM",#REF!,0)</f>
        <v>0</v>
      </c>
      <c r="W91" s="15"/>
      <c r="AG91" s="20">
        <f>SUM(X92:X96)</f>
        <v>0</v>
      </c>
      <c r="AH91" s="20">
        <f>SUM(Y92:Y96)</f>
        <v>0</v>
      </c>
      <c r="AI91" s="20">
        <f>SUM(Z92:Z96)</f>
        <v>0</v>
      </c>
    </row>
    <row r="92" spans="1:41" ht="12.75">
      <c r="A92" s="2" t="s">
        <v>273</v>
      </c>
      <c r="B92" s="2"/>
      <c r="C92" s="2" t="s">
        <v>274</v>
      </c>
      <c r="D92" s="2" t="s">
        <v>275</v>
      </c>
      <c r="E92" s="2" t="s">
        <v>62</v>
      </c>
      <c r="F92" s="21">
        <v>107.03</v>
      </c>
      <c r="G92" s="41">
        <v>0</v>
      </c>
      <c r="H92" s="21"/>
      <c r="I92" s="21">
        <f aca="true" t="shared" si="41" ref="I92:I96">F92*G92</f>
        <v>0</v>
      </c>
      <c r="J92" s="21">
        <v>0.10373</v>
      </c>
      <c r="K92" s="21">
        <f>F92*J92</f>
        <v>11.1022219</v>
      </c>
      <c r="L92" s="22" t="s">
        <v>42</v>
      </c>
      <c r="M92" s="21">
        <f>IF(L92="5",H92,0)</f>
        <v>0</v>
      </c>
      <c r="X92" s="21">
        <f>IF(AB92=0,I92,0)</f>
        <v>0</v>
      </c>
      <c r="Y92" s="21">
        <f>IF(AB92=15,I92,0)</f>
        <v>0</v>
      </c>
      <c r="Z92" s="21">
        <f>IF(AB92=21,I92,0)</f>
        <v>0</v>
      </c>
      <c r="AB92" s="21">
        <v>21</v>
      </c>
      <c r="AC92" s="21">
        <f>G92*0.620661643183282</f>
        <v>0</v>
      </c>
      <c r="AD92" s="21">
        <f>G92*(1-0.620661643183282)</f>
        <v>0</v>
      </c>
      <c r="AK92" s="21">
        <f>F92*AC92</f>
        <v>0</v>
      </c>
      <c r="AL92" s="21">
        <f>F92*AD92</f>
        <v>0</v>
      </c>
      <c r="AM92" s="22" t="s">
        <v>276</v>
      </c>
      <c r="AN92" s="22" t="s">
        <v>259</v>
      </c>
      <c r="AO92" s="15" t="s">
        <v>49</v>
      </c>
    </row>
    <row r="93" spans="1:41" ht="12.75">
      <c r="A93" s="2" t="s">
        <v>277</v>
      </c>
      <c r="B93" s="2"/>
      <c r="C93" s="2" t="s">
        <v>278</v>
      </c>
      <c r="D93" s="2" t="s">
        <v>279</v>
      </c>
      <c r="E93" s="2" t="s">
        <v>62</v>
      </c>
      <c r="F93" s="21">
        <v>107.03</v>
      </c>
      <c r="G93" s="41">
        <v>0</v>
      </c>
      <c r="H93" s="21"/>
      <c r="I93" s="21">
        <f t="shared" si="41"/>
        <v>0</v>
      </c>
      <c r="J93" s="21">
        <v>0.00061</v>
      </c>
      <c r="K93" s="21">
        <f>F93*J93</f>
        <v>0.0652883</v>
      </c>
      <c r="L93" s="22" t="s">
        <v>42</v>
      </c>
      <c r="M93" s="21">
        <f>IF(L93="5",H93,0)</f>
        <v>0</v>
      </c>
      <c r="X93" s="21">
        <f>IF(AB93=0,I93,0)</f>
        <v>0</v>
      </c>
      <c r="Y93" s="21">
        <f>IF(AB93=15,I93,0)</f>
        <v>0</v>
      </c>
      <c r="Z93" s="21">
        <f>IF(AB93=21,I93,0)</f>
        <v>0</v>
      </c>
      <c r="AB93" s="21">
        <v>21</v>
      </c>
      <c r="AC93" s="21">
        <f>G93*0.941176470588235</f>
        <v>0</v>
      </c>
      <c r="AD93" s="21">
        <f>G93*(1-0.941176470588235)</f>
        <v>0</v>
      </c>
      <c r="AK93" s="21">
        <f>F93*AC93</f>
        <v>0</v>
      </c>
      <c r="AL93" s="21">
        <f>F93*AD93</f>
        <v>0</v>
      </c>
      <c r="AM93" s="22" t="s">
        <v>276</v>
      </c>
      <c r="AN93" s="22" t="s">
        <v>259</v>
      </c>
      <c r="AO93" s="15" t="s">
        <v>49</v>
      </c>
    </row>
    <row r="94" spans="1:41" ht="12.75">
      <c r="A94" s="2" t="s">
        <v>280</v>
      </c>
      <c r="B94" s="2"/>
      <c r="C94" s="2" t="s">
        <v>281</v>
      </c>
      <c r="D94" s="2" t="s">
        <v>282</v>
      </c>
      <c r="E94" s="2" t="s">
        <v>62</v>
      </c>
      <c r="F94" s="21">
        <v>107.03</v>
      </c>
      <c r="G94" s="41">
        <v>0</v>
      </c>
      <c r="H94" s="21"/>
      <c r="I94" s="21">
        <f t="shared" si="41"/>
        <v>0</v>
      </c>
      <c r="J94" s="21">
        <v>0.12966</v>
      </c>
      <c r="K94" s="21">
        <f>F94*J94</f>
        <v>13.8775098</v>
      </c>
      <c r="L94" s="22" t="s">
        <v>42</v>
      </c>
      <c r="M94" s="21">
        <f>IF(L94="5",H94,0)</f>
        <v>0</v>
      </c>
      <c r="X94" s="21">
        <f>IF(AB94=0,I94,0)</f>
        <v>0</v>
      </c>
      <c r="Y94" s="21">
        <f>IF(AB94=15,I94,0)</f>
        <v>0</v>
      </c>
      <c r="Z94" s="21">
        <f>IF(AB94=21,I94,0)</f>
        <v>0</v>
      </c>
      <c r="AB94" s="21">
        <v>21</v>
      </c>
      <c r="AC94" s="21">
        <f>G94*0.913561022872764</f>
        <v>0</v>
      </c>
      <c r="AD94" s="21">
        <f>G94*(1-0.913561022872764)</f>
        <v>0</v>
      </c>
      <c r="AK94" s="21">
        <f>F94*AC94</f>
        <v>0</v>
      </c>
      <c r="AL94" s="21">
        <f>F94*AD94</f>
        <v>0</v>
      </c>
      <c r="AM94" s="22" t="s">
        <v>276</v>
      </c>
      <c r="AN94" s="22" t="s">
        <v>259</v>
      </c>
      <c r="AO94" s="15" t="s">
        <v>49</v>
      </c>
    </row>
    <row r="95" spans="1:41" ht="12.75">
      <c r="A95" s="2" t="s">
        <v>283</v>
      </c>
      <c r="B95" s="2"/>
      <c r="C95" s="2" t="s">
        <v>284</v>
      </c>
      <c r="D95" s="2" t="s">
        <v>285</v>
      </c>
      <c r="E95" s="2" t="s">
        <v>62</v>
      </c>
      <c r="F95" s="21">
        <v>67.07</v>
      </c>
      <c r="G95" s="41">
        <v>0</v>
      </c>
      <c r="H95" s="21"/>
      <c r="I95" s="21">
        <f t="shared" si="41"/>
        <v>0</v>
      </c>
      <c r="J95" s="21">
        <v>0.07349</v>
      </c>
      <c r="K95" s="21">
        <f>F95*J95</f>
        <v>4.928974299999999</v>
      </c>
      <c r="L95" s="22" t="s">
        <v>42</v>
      </c>
      <c r="M95" s="21">
        <f>IF(L95="5",H95,0)</f>
        <v>0</v>
      </c>
      <c r="X95" s="21">
        <f>IF(AB95=0,I95,0)</f>
        <v>0</v>
      </c>
      <c r="Y95" s="21">
        <f>IF(AB95=15,I95,0)</f>
        <v>0</v>
      </c>
      <c r="Z95" s="21">
        <f>IF(AB95=21,I95,0)</f>
        <v>0</v>
      </c>
      <c r="AB95" s="21">
        <v>21</v>
      </c>
      <c r="AC95" s="21">
        <f>G95*0.556858387672154</f>
        <v>0</v>
      </c>
      <c r="AD95" s="21">
        <f>G95*(1-0.556858387672154)</f>
        <v>0</v>
      </c>
      <c r="AK95" s="21">
        <f>F95*AC95</f>
        <v>0</v>
      </c>
      <c r="AL95" s="21">
        <f>F95*AD95</f>
        <v>0</v>
      </c>
      <c r="AM95" s="22" t="s">
        <v>276</v>
      </c>
      <c r="AN95" s="22" t="s">
        <v>259</v>
      </c>
      <c r="AO95" s="15" t="s">
        <v>49</v>
      </c>
    </row>
    <row r="96" spans="1:41" ht="12.75">
      <c r="A96" s="2" t="s">
        <v>286</v>
      </c>
      <c r="B96" s="2"/>
      <c r="C96" s="2" t="s">
        <v>278</v>
      </c>
      <c r="D96" s="2" t="s">
        <v>279</v>
      </c>
      <c r="E96" s="2" t="s">
        <v>62</v>
      </c>
      <c r="F96" s="21">
        <v>32.4</v>
      </c>
      <c r="G96" s="41">
        <v>0</v>
      </c>
      <c r="H96" s="21"/>
      <c r="I96" s="21">
        <f t="shared" si="41"/>
        <v>0</v>
      </c>
      <c r="J96" s="21">
        <v>0.00061</v>
      </c>
      <c r="K96" s="21">
        <f>F96*J96</f>
        <v>0.019763999999999997</v>
      </c>
      <c r="L96" s="22" t="s">
        <v>42</v>
      </c>
      <c r="M96" s="21">
        <f>IF(L96="5",H96,0)</f>
        <v>0</v>
      </c>
      <c r="X96" s="21">
        <f>IF(AB96=0,I96,0)</f>
        <v>0</v>
      </c>
      <c r="Y96" s="21">
        <f>IF(AB96=15,I96,0)</f>
        <v>0</v>
      </c>
      <c r="Z96" s="21">
        <f>IF(AB96=21,I96,0)</f>
        <v>0</v>
      </c>
      <c r="AB96" s="21">
        <v>21</v>
      </c>
      <c r="AC96" s="21">
        <f>G96*0.941176470588235</f>
        <v>0</v>
      </c>
      <c r="AD96" s="21">
        <f>G96*(1-0.941176470588235)</f>
        <v>0</v>
      </c>
      <c r="AK96" s="21">
        <f>F96*AC96</f>
        <v>0</v>
      </c>
      <c r="AL96" s="21">
        <f>F96*AD96</f>
        <v>0</v>
      </c>
      <c r="AM96" s="22" t="s">
        <v>276</v>
      </c>
      <c r="AN96" s="22" t="s">
        <v>259</v>
      </c>
      <c r="AO96" s="15" t="s">
        <v>49</v>
      </c>
    </row>
    <row r="97" spans="1:35" ht="12.75">
      <c r="A97" s="23"/>
      <c r="B97" s="24"/>
      <c r="C97" s="24" t="s">
        <v>255</v>
      </c>
      <c r="D97" s="64" t="s">
        <v>287</v>
      </c>
      <c r="E97" s="64"/>
      <c r="F97" s="64"/>
      <c r="G97" s="64"/>
      <c r="H97" s="20"/>
      <c r="I97" s="20"/>
      <c r="J97" s="15"/>
      <c r="K97" s="20">
        <f>SUM(K98:K98)</f>
        <v>0.1002</v>
      </c>
      <c r="N97" s="20">
        <f>IF(O97="PR",I97,SUM(M98:M98))</f>
        <v>0</v>
      </c>
      <c r="O97" s="15" t="s">
        <v>41</v>
      </c>
      <c r="P97" s="20" t="e">
        <f>IF(O97="HS",#REF!,0)</f>
        <v>#REF!</v>
      </c>
      <c r="Q97" s="20">
        <f>IF(O97="HS",H97-N97,0)</f>
        <v>0</v>
      </c>
      <c r="R97" s="20">
        <f>IF(O97="PS",#REF!,0)</f>
        <v>0</v>
      </c>
      <c r="S97" s="20">
        <f>IF(O97="PS",H97-N97,0)</f>
        <v>0</v>
      </c>
      <c r="T97" s="20">
        <f>IF(O97="MP",#REF!,0)</f>
        <v>0</v>
      </c>
      <c r="U97" s="20">
        <f>IF(O97="MP",H97-N97,0)</f>
        <v>0</v>
      </c>
      <c r="V97" s="20">
        <f>IF(O97="OM",#REF!,0)</f>
        <v>0</v>
      </c>
      <c r="W97" s="15"/>
      <c r="AG97" s="20">
        <f>SUM(X98:X98)</f>
        <v>0</v>
      </c>
      <c r="AH97" s="20">
        <f>SUM(Y98:Y98)</f>
        <v>0</v>
      </c>
      <c r="AI97" s="20">
        <f>SUM(Z98:Z98)</f>
        <v>0</v>
      </c>
    </row>
    <row r="98" spans="1:41" ht="12.75">
      <c r="A98" s="2" t="s">
        <v>288</v>
      </c>
      <c r="B98" s="2"/>
      <c r="C98" s="2" t="s">
        <v>289</v>
      </c>
      <c r="D98" s="2" t="s">
        <v>290</v>
      </c>
      <c r="E98" s="2" t="s">
        <v>62</v>
      </c>
      <c r="F98" s="21">
        <v>3</v>
      </c>
      <c r="G98" s="41">
        <v>0</v>
      </c>
      <c r="H98" s="21"/>
      <c r="I98" s="21">
        <f aca="true" t="shared" si="42" ref="I98">F98*G98</f>
        <v>0</v>
      </c>
      <c r="J98" s="21">
        <v>0.0334</v>
      </c>
      <c r="K98" s="21">
        <f>F98*J98</f>
        <v>0.1002</v>
      </c>
      <c r="L98" s="22" t="s">
        <v>42</v>
      </c>
      <c r="M98" s="21">
        <f>IF(L98="5",H98,0)</f>
        <v>0</v>
      </c>
      <c r="X98" s="21">
        <f>IF(AB98=0,I98,0)</f>
        <v>0</v>
      </c>
      <c r="Y98" s="21">
        <f>IF(AB98=15,I98,0)</f>
        <v>0</v>
      </c>
      <c r="Z98" s="21">
        <f>IF(AB98=21,I98,0)</f>
        <v>0</v>
      </c>
      <c r="AB98" s="21">
        <v>21</v>
      </c>
      <c r="AC98" s="21">
        <f>G98*0.281654643881238</f>
        <v>0</v>
      </c>
      <c r="AD98" s="21">
        <f>G98*(1-0.281654643881238)</f>
        <v>0</v>
      </c>
      <c r="AK98" s="21">
        <f>F98*AC98</f>
        <v>0</v>
      </c>
      <c r="AL98" s="21">
        <f>F98*AD98</f>
        <v>0</v>
      </c>
      <c r="AM98" s="22" t="s">
        <v>291</v>
      </c>
      <c r="AN98" s="22" t="s">
        <v>292</v>
      </c>
      <c r="AO98" s="15" t="s">
        <v>49</v>
      </c>
    </row>
    <row r="99" spans="1:35" ht="12.75">
      <c r="A99" s="23"/>
      <c r="B99" s="24"/>
      <c r="C99" s="24" t="s">
        <v>293</v>
      </c>
      <c r="D99" s="64" t="s">
        <v>294</v>
      </c>
      <c r="E99" s="64"/>
      <c r="F99" s="64"/>
      <c r="G99" s="64"/>
      <c r="H99" s="20"/>
      <c r="I99" s="20"/>
      <c r="J99" s="15"/>
      <c r="K99" s="20">
        <f>SUM(K100:K104)</f>
        <v>1.3092840000000001</v>
      </c>
      <c r="N99" s="20">
        <f>IF(O99="PR",I99,SUM(M100:M104))</f>
        <v>0</v>
      </c>
      <c r="O99" s="15" t="s">
        <v>295</v>
      </c>
      <c r="P99" s="20">
        <f>IF(O99="HS",#REF!,0)</f>
        <v>0</v>
      </c>
      <c r="Q99" s="20">
        <f>IF(O99="HS",H99-N99,0)</f>
        <v>0</v>
      </c>
      <c r="R99" s="20" t="e">
        <f>IF(O99="PS",#REF!,0)</f>
        <v>#REF!</v>
      </c>
      <c r="S99" s="20">
        <f>IF(O99="PS",H99-N99,0)</f>
        <v>0</v>
      </c>
      <c r="T99" s="20">
        <f>IF(O99="MP",#REF!,0)</f>
        <v>0</v>
      </c>
      <c r="U99" s="20">
        <f>IF(O99="MP",H99-N99,0)</f>
        <v>0</v>
      </c>
      <c r="V99" s="20">
        <f>IF(O99="OM",#REF!,0)</f>
        <v>0</v>
      </c>
      <c r="W99" s="15"/>
      <c r="AG99" s="20">
        <f>SUM(X100:X104)</f>
        <v>0</v>
      </c>
      <c r="AH99" s="20">
        <f>SUM(Y100:Y104)</f>
        <v>0</v>
      </c>
      <c r="AI99" s="20">
        <f>SUM(Z100:Z104)</f>
        <v>0</v>
      </c>
    </row>
    <row r="100" spans="1:41" ht="12.75">
      <c r="A100" s="2" t="s">
        <v>296</v>
      </c>
      <c r="B100" s="2"/>
      <c r="C100" s="2" t="s">
        <v>297</v>
      </c>
      <c r="D100" s="2" t="s">
        <v>298</v>
      </c>
      <c r="E100" s="2" t="s">
        <v>62</v>
      </c>
      <c r="F100" s="21">
        <v>90.07</v>
      </c>
      <c r="G100" s="41">
        <v>0</v>
      </c>
      <c r="H100" s="21"/>
      <c r="I100" s="21">
        <f aca="true" t="shared" si="43" ref="I100:I104">F100*G100</f>
        <v>0</v>
      </c>
      <c r="J100" s="21">
        <v>0.01344</v>
      </c>
      <c r="K100" s="21">
        <f>F100*J100</f>
        <v>1.2105408</v>
      </c>
      <c r="L100" s="22" t="s">
        <v>42</v>
      </c>
      <c r="M100" s="21">
        <f>IF(L100="5",H100,0)</f>
        <v>0</v>
      </c>
      <c r="X100" s="21">
        <f>IF(AB100=0,I100,0)</f>
        <v>0</v>
      </c>
      <c r="Y100" s="21">
        <f>IF(AB100=15,I100,0)</f>
        <v>0</v>
      </c>
      <c r="Z100" s="21">
        <f>IF(AB100=21,I100,0)</f>
        <v>0</v>
      </c>
      <c r="AB100" s="21">
        <v>21</v>
      </c>
      <c r="AC100" s="21">
        <f>G100*0.035631067961165</f>
        <v>0</v>
      </c>
      <c r="AD100" s="21">
        <f>G100*(1-0.035631067961165)</f>
        <v>0</v>
      </c>
      <c r="AK100" s="21">
        <f>F100*AC100</f>
        <v>0</v>
      </c>
      <c r="AL100" s="21">
        <f>F100*AD100</f>
        <v>0</v>
      </c>
      <c r="AM100" s="22" t="s">
        <v>299</v>
      </c>
      <c r="AN100" s="22" t="s">
        <v>300</v>
      </c>
      <c r="AO100" s="15" t="s">
        <v>49</v>
      </c>
    </row>
    <row r="101" spans="1:41" ht="12.75">
      <c r="A101" s="2" t="s">
        <v>301</v>
      </c>
      <c r="B101" s="2"/>
      <c r="C101" s="2" t="s">
        <v>302</v>
      </c>
      <c r="D101" s="2" t="s">
        <v>303</v>
      </c>
      <c r="E101" s="2" t="s">
        <v>59</v>
      </c>
      <c r="F101" s="21">
        <v>2</v>
      </c>
      <c r="G101" s="41">
        <v>0</v>
      </c>
      <c r="H101" s="21"/>
      <c r="I101" s="21">
        <f t="shared" si="43"/>
        <v>0</v>
      </c>
      <c r="J101" s="21">
        <v>0.00422</v>
      </c>
      <c r="K101" s="21">
        <f>F101*J101</f>
        <v>0.00844</v>
      </c>
      <c r="L101" s="22" t="s">
        <v>42</v>
      </c>
      <c r="M101" s="21">
        <f>IF(L101="5",H101,0)</f>
        <v>0</v>
      </c>
      <c r="X101" s="21">
        <f>IF(AB101=0,I101,0)</f>
        <v>0</v>
      </c>
      <c r="Y101" s="21">
        <f>IF(AB101=15,I101,0)</f>
        <v>0</v>
      </c>
      <c r="Z101" s="21">
        <f>IF(AB101=21,I101,0)</f>
        <v>0</v>
      </c>
      <c r="AB101" s="21">
        <v>21</v>
      </c>
      <c r="AC101" s="21">
        <f>G101*0.233902876553733</f>
        <v>0</v>
      </c>
      <c r="AD101" s="21">
        <f>G101*(1-0.233902876553733)</f>
        <v>0</v>
      </c>
      <c r="AK101" s="21">
        <f>F101*AC101</f>
        <v>0</v>
      </c>
      <c r="AL101" s="21">
        <f>F101*AD101</f>
        <v>0</v>
      </c>
      <c r="AM101" s="22" t="s">
        <v>299</v>
      </c>
      <c r="AN101" s="22" t="s">
        <v>300</v>
      </c>
      <c r="AO101" s="15" t="s">
        <v>49</v>
      </c>
    </row>
    <row r="102" spans="1:41" ht="12.75">
      <c r="A102" s="2" t="s">
        <v>304</v>
      </c>
      <c r="B102" s="2"/>
      <c r="C102" s="2" t="s">
        <v>305</v>
      </c>
      <c r="D102" s="2" t="s">
        <v>306</v>
      </c>
      <c r="E102" s="2" t="s">
        <v>59</v>
      </c>
      <c r="F102" s="21">
        <v>2</v>
      </c>
      <c r="G102" s="41">
        <v>0</v>
      </c>
      <c r="H102" s="21"/>
      <c r="I102" s="21">
        <f t="shared" si="43"/>
        <v>0</v>
      </c>
      <c r="J102" s="21">
        <v>0.00016</v>
      </c>
      <c r="K102" s="21">
        <f>F102*J102</f>
        <v>0.00032</v>
      </c>
      <c r="L102" s="22" t="s">
        <v>42</v>
      </c>
      <c r="M102" s="21">
        <f>IF(L102="5",H102,0)</f>
        <v>0</v>
      </c>
      <c r="X102" s="21">
        <f>IF(AB102=0,I102,0)</f>
        <v>0</v>
      </c>
      <c r="Y102" s="21">
        <f>IF(AB102=15,I102,0)</f>
        <v>0</v>
      </c>
      <c r="Z102" s="21">
        <f>IF(AB102=21,I102,0)</f>
        <v>0</v>
      </c>
      <c r="AB102" s="21">
        <v>21</v>
      </c>
      <c r="AC102" s="21">
        <f>G102*0.0407299270072993</f>
        <v>0</v>
      </c>
      <c r="AD102" s="21">
        <f>G102*(1-0.0407299270072993)</f>
        <v>0</v>
      </c>
      <c r="AK102" s="21">
        <f>F102*AC102</f>
        <v>0</v>
      </c>
      <c r="AL102" s="21">
        <f>F102*AD102</f>
        <v>0</v>
      </c>
      <c r="AM102" s="22" t="s">
        <v>299</v>
      </c>
      <c r="AN102" s="22" t="s">
        <v>300</v>
      </c>
      <c r="AO102" s="15" t="s">
        <v>49</v>
      </c>
    </row>
    <row r="103" spans="1:41" ht="12.75">
      <c r="A103" s="2" t="s">
        <v>307</v>
      </c>
      <c r="B103" s="2"/>
      <c r="C103" s="2" t="s">
        <v>308</v>
      </c>
      <c r="D103" s="2" t="s">
        <v>309</v>
      </c>
      <c r="E103" s="2" t="s">
        <v>62</v>
      </c>
      <c r="F103" s="21">
        <v>45.72</v>
      </c>
      <c r="G103" s="41">
        <v>0</v>
      </c>
      <c r="H103" s="21"/>
      <c r="I103" s="21">
        <f t="shared" si="43"/>
        <v>0</v>
      </c>
      <c r="J103" s="21">
        <v>0.00126</v>
      </c>
      <c r="K103" s="21">
        <f>F103*J103</f>
        <v>0.057607200000000004</v>
      </c>
      <c r="L103" s="22" t="s">
        <v>42</v>
      </c>
      <c r="M103" s="21">
        <f>IF(L103="5",H103,0)</f>
        <v>0</v>
      </c>
      <c r="X103" s="21">
        <f>IF(AB103=0,I103,0)</f>
        <v>0</v>
      </c>
      <c r="Y103" s="21">
        <f>IF(AB103=15,I103,0)</f>
        <v>0</v>
      </c>
      <c r="Z103" s="21">
        <f>IF(AB103=21,I103,0)</f>
        <v>0</v>
      </c>
      <c r="AB103" s="21">
        <v>21</v>
      </c>
      <c r="AC103" s="21">
        <f>G103*0.573955094991364</f>
        <v>0</v>
      </c>
      <c r="AD103" s="21">
        <f>G103*(1-0.573955094991364)</f>
        <v>0</v>
      </c>
      <c r="AK103" s="21">
        <f>F103*AC103</f>
        <v>0</v>
      </c>
      <c r="AL103" s="21">
        <f>F103*AD103</f>
        <v>0</v>
      </c>
      <c r="AM103" s="22" t="s">
        <v>299</v>
      </c>
      <c r="AN103" s="22" t="s">
        <v>300</v>
      </c>
      <c r="AO103" s="15" t="s">
        <v>49</v>
      </c>
    </row>
    <row r="104" spans="1:41" ht="12.75">
      <c r="A104" s="2" t="s">
        <v>310</v>
      </c>
      <c r="B104" s="2"/>
      <c r="C104" s="2" t="s">
        <v>311</v>
      </c>
      <c r="D104" s="2" t="s">
        <v>312</v>
      </c>
      <c r="E104" s="2" t="s">
        <v>62</v>
      </c>
      <c r="F104" s="21">
        <v>45.6</v>
      </c>
      <c r="G104" s="41">
        <v>0</v>
      </c>
      <c r="H104" s="21"/>
      <c r="I104" s="21">
        <f t="shared" si="43"/>
        <v>0</v>
      </c>
      <c r="J104" s="21">
        <v>0.00071</v>
      </c>
      <c r="K104" s="21">
        <f>F104*J104</f>
        <v>0.032376</v>
      </c>
      <c r="L104" s="22" t="s">
        <v>42</v>
      </c>
      <c r="M104" s="21">
        <f>IF(L104="5",H104,0)</f>
        <v>0</v>
      </c>
      <c r="X104" s="21">
        <f>IF(AB104=0,I104,0)</f>
        <v>0</v>
      </c>
      <c r="Y104" s="21">
        <f>IF(AB104=15,I104,0)</f>
        <v>0</v>
      </c>
      <c r="Z104" s="21">
        <f>IF(AB104=21,I104,0)</f>
        <v>0</v>
      </c>
      <c r="AB104" s="21">
        <v>21</v>
      </c>
      <c r="AC104" s="21">
        <f>G104*0.573698630136986</f>
        <v>0</v>
      </c>
      <c r="AD104" s="21">
        <f>G104*(1-0.573698630136986)</f>
        <v>0</v>
      </c>
      <c r="AK104" s="21">
        <f>F104*AC104</f>
        <v>0</v>
      </c>
      <c r="AL104" s="21">
        <f>F104*AD104</f>
        <v>0</v>
      </c>
      <c r="AM104" s="22" t="s">
        <v>299</v>
      </c>
      <c r="AN104" s="22" t="s">
        <v>300</v>
      </c>
      <c r="AO104" s="15" t="s">
        <v>49</v>
      </c>
    </row>
    <row r="105" spans="1:35" ht="12.75">
      <c r="A105" s="23"/>
      <c r="B105" s="24"/>
      <c r="C105" s="24" t="s">
        <v>313</v>
      </c>
      <c r="D105" s="64" t="s">
        <v>314</v>
      </c>
      <c r="E105" s="64"/>
      <c r="F105" s="64"/>
      <c r="G105" s="64"/>
      <c r="H105" s="20"/>
      <c r="I105" s="20"/>
      <c r="J105" s="15"/>
      <c r="K105" s="20">
        <f>SUM(K106:K106)</f>
        <v>0.060000000000000005</v>
      </c>
      <c r="N105" s="20">
        <f>IF(O105="PR",I105,SUM(M106:M106))</f>
        <v>0</v>
      </c>
      <c r="O105" s="15" t="s">
        <v>295</v>
      </c>
      <c r="P105" s="20">
        <f>IF(O105="HS",#REF!,0)</f>
        <v>0</v>
      </c>
      <c r="Q105" s="20">
        <f>IF(O105="HS",H105-N105,0)</f>
        <v>0</v>
      </c>
      <c r="R105" s="20" t="e">
        <f>IF(O105="PS",#REF!,0)</f>
        <v>#REF!</v>
      </c>
      <c r="S105" s="20">
        <f>IF(O105="PS",H105-N105,0)</f>
        <v>0</v>
      </c>
      <c r="T105" s="20">
        <f>IF(O105="MP",#REF!,0)</f>
        <v>0</v>
      </c>
      <c r="U105" s="20">
        <f>IF(O105="MP",H105-N105,0)</f>
        <v>0</v>
      </c>
      <c r="V105" s="20">
        <f>IF(O105="OM",#REF!,0)</f>
        <v>0</v>
      </c>
      <c r="W105" s="15"/>
      <c r="AG105" s="20">
        <f>SUM(X106:X106)</f>
        <v>0</v>
      </c>
      <c r="AH105" s="20">
        <f>SUM(Y106:Y106)</f>
        <v>0</v>
      </c>
      <c r="AI105" s="20">
        <f>SUM(Z106:Z106)</f>
        <v>0</v>
      </c>
    </row>
    <row r="106" spans="1:41" ht="12.75">
      <c r="A106" s="2" t="s">
        <v>315</v>
      </c>
      <c r="B106" s="2"/>
      <c r="C106" s="2" t="s">
        <v>316</v>
      </c>
      <c r="D106" s="2" t="s">
        <v>317</v>
      </c>
      <c r="E106" s="2" t="s">
        <v>318</v>
      </c>
      <c r="F106" s="21">
        <v>1200</v>
      </c>
      <c r="G106" s="41">
        <v>0</v>
      </c>
      <c r="H106" s="21"/>
      <c r="I106" s="21">
        <f aca="true" t="shared" si="44" ref="I106">F106*G106</f>
        <v>0</v>
      </c>
      <c r="J106" s="21">
        <v>5E-05</v>
      </c>
      <c r="K106" s="21">
        <f>F106*J106</f>
        <v>0.060000000000000005</v>
      </c>
      <c r="L106" s="22" t="s">
        <v>42</v>
      </c>
      <c r="M106" s="21">
        <f>IF(L106="5",H106,0)</f>
        <v>0</v>
      </c>
      <c r="X106" s="21">
        <f>IF(AB106=0,I106,0)</f>
        <v>0</v>
      </c>
      <c r="Y106" s="21">
        <f>IF(AB106=15,I106,0)</f>
        <v>0</v>
      </c>
      <c r="Z106" s="21">
        <f>IF(AB106=21,I106,0)</f>
        <v>0</v>
      </c>
      <c r="AB106" s="21">
        <v>21</v>
      </c>
      <c r="AC106" s="21">
        <f>G106*0.176454813622955</f>
        <v>0</v>
      </c>
      <c r="AD106" s="21">
        <f>G106*(1-0.176454813622955)</f>
        <v>0</v>
      </c>
      <c r="AK106" s="21">
        <f>F106*AC106</f>
        <v>0</v>
      </c>
      <c r="AL106" s="21">
        <f>F106*AD106</f>
        <v>0</v>
      </c>
      <c r="AM106" s="22" t="s">
        <v>319</v>
      </c>
      <c r="AN106" s="22" t="s">
        <v>320</v>
      </c>
      <c r="AO106" s="15" t="s">
        <v>49</v>
      </c>
    </row>
    <row r="107" spans="1:35" ht="12.75">
      <c r="A107" s="23"/>
      <c r="B107" s="24"/>
      <c r="C107" s="24" t="s">
        <v>321</v>
      </c>
      <c r="D107" s="64" t="s">
        <v>322</v>
      </c>
      <c r="E107" s="64"/>
      <c r="F107" s="64"/>
      <c r="G107" s="64"/>
      <c r="H107" s="20"/>
      <c r="I107" s="20"/>
      <c r="J107" s="15"/>
      <c r="K107" s="20">
        <f>SUM(K108:K109)</f>
        <v>0.03817</v>
      </c>
      <c r="N107" s="20">
        <f>IF(O107="PR",I107,SUM(M108:M109))</f>
        <v>0</v>
      </c>
      <c r="O107" s="15" t="s">
        <v>41</v>
      </c>
      <c r="P107" s="20" t="e">
        <f>IF(O107="HS",#REF!,0)</f>
        <v>#REF!</v>
      </c>
      <c r="Q107" s="20">
        <f>IF(O107="HS",H107-N107,0)</f>
        <v>0</v>
      </c>
      <c r="R107" s="20">
        <f>IF(O107="PS",#REF!,0)</f>
        <v>0</v>
      </c>
      <c r="S107" s="20">
        <f>IF(O107="PS",H107-N107,0)</f>
        <v>0</v>
      </c>
      <c r="T107" s="20">
        <f>IF(O107="MP",#REF!,0)</f>
        <v>0</v>
      </c>
      <c r="U107" s="20">
        <f>IF(O107="MP",H107-N107,0)</f>
        <v>0</v>
      </c>
      <c r="V107" s="20">
        <f>IF(O107="OM",#REF!,0)</f>
        <v>0</v>
      </c>
      <c r="W107" s="15"/>
      <c r="AG107" s="20">
        <f>SUM(X108:X109)</f>
        <v>0</v>
      </c>
      <c r="AH107" s="20">
        <f>SUM(Y108:Y109)</f>
        <v>0</v>
      </c>
      <c r="AI107" s="20">
        <f>SUM(Z108:Z109)</f>
        <v>0</v>
      </c>
    </row>
    <row r="108" spans="1:41" ht="12.75">
      <c r="A108" s="2" t="s">
        <v>323</v>
      </c>
      <c r="B108" s="2"/>
      <c r="C108" s="2" t="s">
        <v>324</v>
      </c>
      <c r="D108" s="2" t="s">
        <v>325</v>
      </c>
      <c r="E108" s="2" t="s">
        <v>59</v>
      </c>
      <c r="F108" s="21">
        <v>2</v>
      </c>
      <c r="G108" s="41">
        <v>0</v>
      </c>
      <c r="H108" s="21"/>
      <c r="I108" s="21">
        <f aca="true" t="shared" si="45" ref="I108:I109">F108*G108</f>
        <v>0</v>
      </c>
      <c r="J108" s="21">
        <v>0.00131</v>
      </c>
      <c r="K108" s="21">
        <f>F108*J108</f>
        <v>0.00262</v>
      </c>
      <c r="L108" s="22" t="s">
        <v>42</v>
      </c>
      <c r="M108" s="21">
        <f>IF(L108="5",H108,0)</f>
        <v>0</v>
      </c>
      <c r="X108" s="21">
        <f>IF(AB108=0,I108,0)</f>
        <v>0</v>
      </c>
      <c r="Y108" s="21">
        <f>IF(AB108=15,I108,0)</f>
        <v>0</v>
      </c>
      <c r="Z108" s="21">
        <f>IF(AB108=21,I108,0)</f>
        <v>0</v>
      </c>
      <c r="AB108" s="21">
        <v>21</v>
      </c>
      <c r="AC108" s="21">
        <f>G108*0.661498257839721</f>
        <v>0</v>
      </c>
      <c r="AD108" s="21">
        <f>G108*(1-0.661498257839721)</f>
        <v>0</v>
      </c>
      <c r="AK108" s="21">
        <f>F108*AC108</f>
        <v>0</v>
      </c>
      <c r="AL108" s="21">
        <f>F108*AD108</f>
        <v>0</v>
      </c>
      <c r="AM108" s="22" t="s">
        <v>326</v>
      </c>
      <c r="AN108" s="22" t="s">
        <v>327</v>
      </c>
      <c r="AO108" s="15" t="s">
        <v>49</v>
      </c>
    </row>
    <row r="109" spans="1:41" ht="12.75">
      <c r="A109" s="2" t="s">
        <v>328</v>
      </c>
      <c r="B109" s="2"/>
      <c r="C109" s="2" t="s">
        <v>329</v>
      </c>
      <c r="D109" s="2" t="s">
        <v>330</v>
      </c>
      <c r="E109" s="2" t="s">
        <v>78</v>
      </c>
      <c r="F109" s="21">
        <v>15</v>
      </c>
      <c r="G109" s="41">
        <v>0</v>
      </c>
      <c r="H109" s="21"/>
      <c r="I109" s="21">
        <f t="shared" si="45"/>
        <v>0</v>
      </c>
      <c r="J109" s="21">
        <v>0.00237</v>
      </c>
      <c r="K109" s="21">
        <f>F109*J109</f>
        <v>0.035550000000000005</v>
      </c>
      <c r="L109" s="22" t="s">
        <v>42</v>
      </c>
      <c r="M109" s="21">
        <f>IF(L109="5",H109,0)</f>
        <v>0</v>
      </c>
      <c r="X109" s="21">
        <f>IF(AB109=0,I109,0)</f>
        <v>0</v>
      </c>
      <c r="Y109" s="21">
        <f>IF(AB109=15,I109,0)</f>
        <v>0</v>
      </c>
      <c r="Z109" s="21">
        <f>IF(AB109=21,I109,0)</f>
        <v>0</v>
      </c>
      <c r="AB109" s="21">
        <v>21</v>
      </c>
      <c r="AC109" s="21">
        <f>G109*0.871466666666667</f>
        <v>0</v>
      </c>
      <c r="AD109" s="21">
        <f>G109*(1-0.871466666666667)</f>
        <v>0</v>
      </c>
      <c r="AK109" s="21">
        <f>F109*AC109</f>
        <v>0</v>
      </c>
      <c r="AL109" s="21">
        <f>F109*AD109</f>
        <v>0</v>
      </c>
      <c r="AM109" s="22" t="s">
        <v>326</v>
      </c>
      <c r="AN109" s="22" t="s">
        <v>327</v>
      </c>
      <c r="AO109" s="15" t="s">
        <v>49</v>
      </c>
    </row>
    <row r="110" spans="1:35" ht="12.75">
      <c r="A110" s="23"/>
      <c r="B110" s="24"/>
      <c r="C110" s="24" t="s">
        <v>331</v>
      </c>
      <c r="D110" s="64" t="s">
        <v>332</v>
      </c>
      <c r="E110" s="64"/>
      <c r="F110" s="64"/>
      <c r="G110" s="64"/>
      <c r="H110" s="20"/>
      <c r="I110" s="20"/>
      <c r="J110" s="15"/>
      <c r="K110" s="20">
        <f>SUM(K111:K114)</f>
        <v>1.0044899999999999</v>
      </c>
      <c r="N110" s="20">
        <f>IF(O110="PR",I110,SUM(M111:M114))</f>
        <v>0</v>
      </c>
      <c r="O110" s="15" t="s">
        <v>41</v>
      </c>
      <c r="P110" s="20" t="e">
        <f>IF(O110="HS",#REF!,0)</f>
        <v>#REF!</v>
      </c>
      <c r="Q110" s="20">
        <f>IF(O110="HS",H110-N110,0)</f>
        <v>0</v>
      </c>
      <c r="R110" s="20">
        <f>IF(O110="PS",#REF!,0)</f>
        <v>0</v>
      </c>
      <c r="S110" s="20">
        <f>IF(O110="PS",H110-N110,0)</f>
        <v>0</v>
      </c>
      <c r="T110" s="20">
        <f>IF(O110="MP",#REF!,0)</f>
        <v>0</v>
      </c>
      <c r="U110" s="20">
        <f>IF(O110="MP",H110-N110,0)</f>
        <v>0</v>
      </c>
      <c r="V110" s="20">
        <f>IF(O110="OM",#REF!,0)</f>
        <v>0</v>
      </c>
      <c r="W110" s="15"/>
      <c r="AG110" s="20">
        <f>SUM(X111:X114)</f>
        <v>0</v>
      </c>
      <c r="AH110" s="20">
        <f>SUM(Y111:Y114)</f>
        <v>0</v>
      </c>
      <c r="AI110" s="20">
        <f>SUM(Z111:Z114)</f>
        <v>0</v>
      </c>
    </row>
    <row r="111" spans="1:41" ht="12.75">
      <c r="A111" s="2" t="s">
        <v>333</v>
      </c>
      <c r="B111" s="2"/>
      <c r="C111" s="2" t="s">
        <v>334</v>
      </c>
      <c r="D111" s="2" t="s">
        <v>335</v>
      </c>
      <c r="E111" s="2" t="s">
        <v>78</v>
      </c>
      <c r="F111" s="21">
        <v>12.8</v>
      </c>
      <c r="G111" s="41">
        <v>0</v>
      </c>
      <c r="H111" s="21"/>
      <c r="I111" s="21">
        <f aca="true" t="shared" si="46" ref="I111:I114">F111*G111</f>
        <v>0</v>
      </c>
      <c r="J111" s="21">
        <v>0.0155</v>
      </c>
      <c r="K111" s="21">
        <f>F111*J111</f>
        <v>0.19840000000000002</v>
      </c>
      <c r="L111" s="22" t="s">
        <v>42</v>
      </c>
      <c r="M111" s="21">
        <f>IF(L111="5",H111,0)</f>
        <v>0</v>
      </c>
      <c r="X111" s="21">
        <f>IF(AB111=0,I111,0)</f>
        <v>0</v>
      </c>
      <c r="Y111" s="21">
        <f>IF(AB111=15,I111,0)</f>
        <v>0</v>
      </c>
      <c r="Z111" s="21">
        <f>IF(AB111=21,I111,0)</f>
        <v>0</v>
      </c>
      <c r="AB111" s="21">
        <v>21</v>
      </c>
      <c r="AC111" s="21">
        <f>G111*0.333733634311512</f>
        <v>0</v>
      </c>
      <c r="AD111" s="21">
        <f>G111*(1-0.333733634311512)</f>
        <v>0</v>
      </c>
      <c r="AK111" s="21">
        <f>F111*AC111</f>
        <v>0</v>
      </c>
      <c r="AL111" s="21">
        <f>F111*AD111</f>
        <v>0</v>
      </c>
      <c r="AM111" s="22" t="s">
        <v>336</v>
      </c>
      <c r="AN111" s="22" t="s">
        <v>337</v>
      </c>
      <c r="AO111" s="15" t="s">
        <v>49</v>
      </c>
    </row>
    <row r="112" spans="1:41" ht="12.75">
      <c r="A112" s="2" t="s">
        <v>338</v>
      </c>
      <c r="B112" s="2"/>
      <c r="C112" s="2" t="s">
        <v>339</v>
      </c>
      <c r="D112" s="2" t="s">
        <v>340</v>
      </c>
      <c r="E112" s="2" t="s">
        <v>59</v>
      </c>
      <c r="F112" s="21">
        <v>38</v>
      </c>
      <c r="G112" s="41">
        <v>0</v>
      </c>
      <c r="H112" s="21"/>
      <c r="I112" s="21">
        <f t="shared" si="46"/>
        <v>0</v>
      </c>
      <c r="J112" s="21">
        <v>0.00214</v>
      </c>
      <c r="K112" s="21">
        <f>F112*J112</f>
        <v>0.08132</v>
      </c>
      <c r="L112" s="22" t="s">
        <v>42</v>
      </c>
      <c r="M112" s="21">
        <f>IF(L112="5",H112,0)</f>
        <v>0</v>
      </c>
      <c r="X112" s="21">
        <f>IF(AB112=0,I112,0)</f>
        <v>0</v>
      </c>
      <c r="Y112" s="21">
        <f>IF(AB112=15,I112,0)</f>
        <v>0</v>
      </c>
      <c r="Z112" s="21">
        <f>IF(AB112=21,I112,0)</f>
        <v>0</v>
      </c>
      <c r="AB112" s="21">
        <v>21</v>
      </c>
      <c r="AC112" s="21">
        <f>G112*0.10984496124031</f>
        <v>0</v>
      </c>
      <c r="AD112" s="21">
        <f>G112*(1-0.10984496124031)</f>
        <v>0</v>
      </c>
      <c r="AK112" s="21">
        <f>F112*AC112</f>
        <v>0</v>
      </c>
      <c r="AL112" s="21">
        <f>F112*AD112</f>
        <v>0</v>
      </c>
      <c r="AM112" s="22" t="s">
        <v>336</v>
      </c>
      <c r="AN112" s="22" t="s">
        <v>337</v>
      </c>
      <c r="AO112" s="15" t="s">
        <v>49</v>
      </c>
    </row>
    <row r="113" spans="1:41" ht="12.75">
      <c r="A113" s="2" t="s">
        <v>341</v>
      </c>
      <c r="B113" s="2"/>
      <c r="C113" s="2" t="s">
        <v>342</v>
      </c>
      <c r="D113" s="2" t="s">
        <v>343</v>
      </c>
      <c r="E113" s="2" t="s">
        <v>59</v>
      </c>
      <c r="F113" s="21">
        <v>4</v>
      </c>
      <c r="G113" s="41">
        <v>0</v>
      </c>
      <c r="H113" s="21"/>
      <c r="I113" s="21">
        <f t="shared" si="46"/>
        <v>0</v>
      </c>
      <c r="J113" s="21">
        <v>0.1784</v>
      </c>
      <c r="K113" s="21">
        <f>F113*J113</f>
        <v>0.7136</v>
      </c>
      <c r="L113" s="22" t="s">
        <v>42</v>
      </c>
      <c r="M113" s="21">
        <f>IF(L113="5",H113,0)</f>
        <v>0</v>
      </c>
      <c r="X113" s="21">
        <f>IF(AB113=0,I113,0)</f>
        <v>0</v>
      </c>
      <c r="Y113" s="21">
        <f>IF(AB113=15,I113,0)</f>
        <v>0</v>
      </c>
      <c r="Z113" s="21">
        <f>IF(AB113=21,I113,0)</f>
        <v>0</v>
      </c>
      <c r="AB113" s="21">
        <v>21</v>
      </c>
      <c r="AC113" s="21">
        <f>G113*0.342907239819005</f>
        <v>0</v>
      </c>
      <c r="AD113" s="21">
        <f>G113*(1-0.342907239819005)</f>
        <v>0</v>
      </c>
      <c r="AK113" s="21">
        <f>F113*AC113</f>
        <v>0</v>
      </c>
      <c r="AL113" s="21">
        <f>F113*AD113</f>
        <v>0</v>
      </c>
      <c r="AM113" s="22" t="s">
        <v>336</v>
      </c>
      <c r="AN113" s="22" t="s">
        <v>337</v>
      </c>
      <c r="AO113" s="15" t="s">
        <v>49</v>
      </c>
    </row>
    <row r="114" spans="1:41" ht="12.75">
      <c r="A114" s="2" t="s">
        <v>344</v>
      </c>
      <c r="B114" s="2"/>
      <c r="C114" s="2" t="s">
        <v>345</v>
      </c>
      <c r="D114" s="2" t="s">
        <v>346</v>
      </c>
      <c r="E114" s="2" t="s">
        <v>59</v>
      </c>
      <c r="F114" s="21">
        <v>1</v>
      </c>
      <c r="G114" s="41">
        <v>0</v>
      </c>
      <c r="H114" s="21"/>
      <c r="I114" s="21">
        <f t="shared" si="46"/>
        <v>0</v>
      </c>
      <c r="J114" s="21">
        <v>0.01117</v>
      </c>
      <c r="K114" s="21">
        <f>F114*J114</f>
        <v>0.01117</v>
      </c>
      <c r="L114" s="22" t="s">
        <v>42</v>
      </c>
      <c r="M114" s="21">
        <f>IF(L114="5",H114,0)</f>
        <v>0</v>
      </c>
      <c r="X114" s="21">
        <f>IF(AB114=0,I114,0)</f>
        <v>0</v>
      </c>
      <c r="Y114" s="21">
        <f>IF(AB114=15,I114,0)</f>
        <v>0</v>
      </c>
      <c r="Z114" s="21">
        <f>IF(AB114=21,I114,0)</f>
        <v>0</v>
      </c>
      <c r="AB114" s="21">
        <v>21</v>
      </c>
      <c r="AC114" s="21">
        <f>G114*0.0923922942206655</f>
        <v>0</v>
      </c>
      <c r="AD114" s="21">
        <f>G114*(1-0.0923922942206655)</f>
        <v>0</v>
      </c>
      <c r="AK114" s="21">
        <f>F114*AC114</f>
        <v>0</v>
      </c>
      <c r="AL114" s="21">
        <f>F114*AD114</f>
        <v>0</v>
      </c>
      <c r="AM114" s="22" t="s">
        <v>336</v>
      </c>
      <c r="AN114" s="22" t="s">
        <v>337</v>
      </c>
      <c r="AO114" s="15" t="s">
        <v>49</v>
      </c>
    </row>
    <row r="115" spans="1:35" ht="12.75">
      <c r="A115" s="23"/>
      <c r="B115" s="24"/>
      <c r="C115" s="24" t="s">
        <v>347</v>
      </c>
      <c r="D115" s="64" t="s">
        <v>348</v>
      </c>
      <c r="E115" s="64"/>
      <c r="F115" s="64"/>
      <c r="G115" s="64"/>
      <c r="H115" s="20"/>
      <c r="I115" s="20"/>
      <c r="J115" s="15"/>
      <c r="K115" s="20">
        <f>SUM(K116:K119)</f>
        <v>1.096716</v>
      </c>
      <c r="N115" s="20">
        <f>IF(O115="PR",I115,SUM(M116:M119))</f>
        <v>0</v>
      </c>
      <c r="O115" s="15" t="s">
        <v>41</v>
      </c>
      <c r="P115" s="20" t="e">
        <f>IF(O115="HS",#REF!,0)</f>
        <v>#REF!</v>
      </c>
      <c r="Q115" s="20">
        <f>IF(O115="HS",H115-N115,0)</f>
        <v>0</v>
      </c>
      <c r="R115" s="20">
        <f>IF(O115="PS",#REF!,0)</f>
        <v>0</v>
      </c>
      <c r="S115" s="20">
        <f>IF(O115="PS",H115-N115,0)</f>
        <v>0</v>
      </c>
      <c r="T115" s="20">
        <f>IF(O115="MP",#REF!,0)</f>
        <v>0</v>
      </c>
      <c r="U115" s="20">
        <f>IF(O115="MP",H115-N115,0)</f>
        <v>0</v>
      </c>
      <c r="V115" s="20">
        <f>IF(O115="OM",#REF!,0)</f>
        <v>0</v>
      </c>
      <c r="W115" s="15"/>
      <c r="AG115" s="20">
        <f>SUM(X116:X119)</f>
        <v>0</v>
      </c>
      <c r="AH115" s="20">
        <f>SUM(Y116:Y119)</f>
        <v>0</v>
      </c>
      <c r="AI115" s="20">
        <f>SUM(Z116:Z119)</f>
        <v>0</v>
      </c>
    </row>
    <row r="116" spans="1:41" ht="12.75">
      <c r="A116" s="2" t="s">
        <v>349</v>
      </c>
      <c r="B116" s="2"/>
      <c r="C116" s="2" t="s">
        <v>350</v>
      </c>
      <c r="D116" s="2" t="s">
        <v>351</v>
      </c>
      <c r="E116" s="2" t="s">
        <v>45</v>
      </c>
      <c r="F116" s="21">
        <v>14.4</v>
      </c>
      <c r="G116" s="41">
        <v>0</v>
      </c>
      <c r="H116" s="21"/>
      <c r="I116" s="21">
        <f aca="true" t="shared" si="47" ref="I116:I119">F116*G116</f>
        <v>0</v>
      </c>
      <c r="J116" s="21">
        <v>0.04422</v>
      </c>
      <c r="K116" s="21">
        <f>F116*J116</f>
        <v>0.636768</v>
      </c>
      <c r="L116" s="22" t="s">
        <v>42</v>
      </c>
      <c r="M116" s="21">
        <f>IF(L116="5",H116,0)</f>
        <v>0</v>
      </c>
      <c r="X116" s="21">
        <f>IF(AB116=0,I116,0)</f>
        <v>0</v>
      </c>
      <c r="Y116" s="21">
        <f>IF(AB116=15,I116,0)</f>
        <v>0</v>
      </c>
      <c r="Z116" s="21">
        <f>IF(AB116=21,I116,0)</f>
        <v>0</v>
      </c>
      <c r="AB116" s="21">
        <v>21</v>
      </c>
      <c r="AC116" s="21">
        <f>G116*0.10304600811908</f>
        <v>0</v>
      </c>
      <c r="AD116" s="21">
        <f>G116*(1-0.10304600811908)</f>
        <v>0</v>
      </c>
      <c r="AK116" s="21">
        <f>F116*AC116</f>
        <v>0</v>
      </c>
      <c r="AL116" s="21">
        <f>F116*AD116</f>
        <v>0</v>
      </c>
      <c r="AM116" s="22" t="s">
        <v>352</v>
      </c>
      <c r="AN116" s="22" t="s">
        <v>337</v>
      </c>
      <c r="AO116" s="15" t="s">
        <v>49</v>
      </c>
    </row>
    <row r="117" spans="1:41" ht="12.75">
      <c r="A117" s="2" t="s">
        <v>353</v>
      </c>
      <c r="B117" s="2"/>
      <c r="C117" s="2" t="s">
        <v>354</v>
      </c>
      <c r="D117" s="2" t="s">
        <v>355</v>
      </c>
      <c r="E117" s="2" t="s">
        <v>45</v>
      </c>
      <c r="F117" s="21">
        <v>14.4</v>
      </c>
      <c r="G117" s="41">
        <v>0</v>
      </c>
      <c r="H117" s="21"/>
      <c r="I117" s="21">
        <f t="shared" si="47"/>
        <v>0</v>
      </c>
      <c r="J117" s="21">
        <v>0.02472</v>
      </c>
      <c r="K117" s="21">
        <f>F117*J117</f>
        <v>0.355968</v>
      </c>
      <c r="L117" s="22" t="s">
        <v>42</v>
      </c>
      <c r="M117" s="21">
        <f>IF(L117="5",H117,0)</f>
        <v>0</v>
      </c>
      <c r="X117" s="21">
        <f>IF(AB117=0,I117,0)</f>
        <v>0</v>
      </c>
      <c r="Y117" s="21">
        <f>IF(AB117=15,I117,0)</f>
        <v>0</v>
      </c>
      <c r="Z117" s="21">
        <f>IF(AB117=21,I117,0)</f>
        <v>0</v>
      </c>
      <c r="AB117" s="21">
        <v>21</v>
      </c>
      <c r="AC117" s="21">
        <f>G117*0.0578720173535792</f>
        <v>0</v>
      </c>
      <c r="AD117" s="21">
        <f>G117*(1-0.0578720173535792)</f>
        <v>0</v>
      </c>
      <c r="AK117" s="21">
        <f>F117*AC117</f>
        <v>0</v>
      </c>
      <c r="AL117" s="21">
        <f>F117*AD117</f>
        <v>0</v>
      </c>
      <c r="AM117" s="22" t="s">
        <v>352</v>
      </c>
      <c r="AN117" s="22" t="s">
        <v>337</v>
      </c>
      <c r="AO117" s="15" t="s">
        <v>49</v>
      </c>
    </row>
    <row r="118" spans="1:41" ht="12.75">
      <c r="A118" s="2" t="s">
        <v>321</v>
      </c>
      <c r="B118" s="2"/>
      <c r="C118" s="2" t="s">
        <v>356</v>
      </c>
      <c r="D118" s="2" t="s">
        <v>357</v>
      </c>
      <c r="E118" s="2" t="s">
        <v>45</v>
      </c>
      <c r="F118" s="21">
        <v>3</v>
      </c>
      <c r="G118" s="41">
        <v>0</v>
      </c>
      <c r="H118" s="21"/>
      <c r="I118" s="21">
        <f t="shared" si="47"/>
        <v>0</v>
      </c>
      <c r="J118" s="21">
        <v>0.03466</v>
      </c>
      <c r="K118" s="21">
        <f>F118*J118</f>
        <v>0.10398000000000002</v>
      </c>
      <c r="L118" s="22" t="s">
        <v>42</v>
      </c>
      <c r="M118" s="21">
        <f>IF(L118="5",H118,0)</f>
        <v>0</v>
      </c>
      <c r="X118" s="21">
        <f>IF(AB118=0,I118,0)</f>
        <v>0</v>
      </c>
      <c r="Y118" s="21">
        <f>IF(AB118=15,I118,0)</f>
        <v>0</v>
      </c>
      <c r="Z118" s="21">
        <f>IF(AB118=21,I118,0)</f>
        <v>0</v>
      </c>
      <c r="AB118" s="21">
        <v>21</v>
      </c>
      <c r="AC118" s="21">
        <f>G118*0.1127525</f>
        <v>0</v>
      </c>
      <c r="AD118" s="21">
        <f>G118*(1-0.1127525)</f>
        <v>0</v>
      </c>
      <c r="AK118" s="21">
        <f>F118*AC118</f>
        <v>0</v>
      </c>
      <c r="AL118" s="21">
        <f>F118*AD118</f>
        <v>0</v>
      </c>
      <c r="AM118" s="22" t="s">
        <v>352</v>
      </c>
      <c r="AN118" s="22" t="s">
        <v>337</v>
      </c>
      <c r="AO118" s="15" t="s">
        <v>49</v>
      </c>
    </row>
    <row r="119" spans="1:41" ht="12.75">
      <c r="A119" s="2" t="s">
        <v>358</v>
      </c>
      <c r="B119" s="2"/>
      <c r="C119" s="2" t="s">
        <v>359</v>
      </c>
      <c r="D119" s="2" t="s">
        <v>360</v>
      </c>
      <c r="E119" s="2" t="s">
        <v>45</v>
      </c>
      <c r="F119" s="21">
        <v>3</v>
      </c>
      <c r="G119" s="41">
        <v>0</v>
      </c>
      <c r="H119" s="21"/>
      <c r="I119" s="21">
        <f t="shared" si="47"/>
        <v>0</v>
      </c>
      <c r="J119" s="21">
        <v>0</v>
      </c>
      <c r="K119" s="21">
        <f>F119*J119</f>
        <v>0</v>
      </c>
      <c r="L119" s="22" t="s">
        <v>42</v>
      </c>
      <c r="M119" s="21">
        <f>IF(L119="5",H119,0)</f>
        <v>0</v>
      </c>
      <c r="X119" s="21">
        <f>IF(AB119=0,I119,0)</f>
        <v>0</v>
      </c>
      <c r="Y119" s="21">
        <f>IF(AB119=15,I119,0)</f>
        <v>0</v>
      </c>
      <c r="Z119" s="21">
        <f>IF(AB119=21,I119,0)</f>
        <v>0</v>
      </c>
      <c r="AB119" s="21">
        <v>21</v>
      </c>
      <c r="AC119" s="21">
        <f>G119*0</f>
        <v>0</v>
      </c>
      <c r="AD119" s="21">
        <f>G119*(1-0)</f>
        <v>0</v>
      </c>
      <c r="AK119" s="21">
        <f>F119*AC119</f>
        <v>0</v>
      </c>
      <c r="AL119" s="21">
        <f>F119*AD119</f>
        <v>0</v>
      </c>
      <c r="AM119" s="22" t="s">
        <v>352</v>
      </c>
      <c r="AN119" s="22" t="s">
        <v>337</v>
      </c>
      <c r="AO119" s="15" t="s">
        <v>49</v>
      </c>
    </row>
    <row r="120" spans="1:35" ht="12.75">
      <c r="A120" s="23"/>
      <c r="B120" s="24"/>
      <c r="C120" s="24" t="s">
        <v>361</v>
      </c>
      <c r="D120" s="64" t="s">
        <v>362</v>
      </c>
      <c r="E120" s="64"/>
      <c r="F120" s="64"/>
      <c r="G120" s="64"/>
      <c r="H120" s="20"/>
      <c r="I120" s="20"/>
      <c r="J120" s="15"/>
      <c r="K120" s="20">
        <f>SUM(K121:K133)</f>
        <v>53.3011722</v>
      </c>
      <c r="N120" s="20">
        <f>IF(O120="PR",I120,SUM(M121:M133))</f>
        <v>0</v>
      </c>
      <c r="O120" s="15" t="s">
        <v>41</v>
      </c>
      <c r="P120" s="20" t="e">
        <f>IF(O120="HS",#REF!,0)</f>
        <v>#REF!</v>
      </c>
      <c r="Q120" s="20">
        <f>IF(O120="HS",H120-N120,0)</f>
        <v>0</v>
      </c>
      <c r="R120" s="20">
        <f>IF(O120="PS",#REF!,0)</f>
        <v>0</v>
      </c>
      <c r="S120" s="20">
        <f>IF(O120="PS",H120-N120,0)</f>
        <v>0</v>
      </c>
      <c r="T120" s="20">
        <f>IF(O120="MP",#REF!,0)</f>
        <v>0</v>
      </c>
      <c r="U120" s="20">
        <f>IF(O120="MP",H120-N120,0)</f>
        <v>0</v>
      </c>
      <c r="V120" s="20">
        <f>IF(O120="OM",#REF!,0)</f>
        <v>0</v>
      </c>
      <c r="W120" s="15"/>
      <c r="AG120" s="20">
        <f>SUM(X121:X133)</f>
        <v>0</v>
      </c>
      <c r="AH120" s="20">
        <f>SUM(Y121:Y133)</f>
        <v>0</v>
      </c>
      <c r="AI120" s="20">
        <f>SUM(Z121:Z133)</f>
        <v>0</v>
      </c>
    </row>
    <row r="121" spans="1:41" ht="12.75">
      <c r="A121" s="2" t="s">
        <v>363</v>
      </c>
      <c r="B121" s="2"/>
      <c r="C121" s="2" t="s">
        <v>364</v>
      </c>
      <c r="D121" s="2" t="s">
        <v>365</v>
      </c>
      <c r="E121" s="2" t="s">
        <v>84</v>
      </c>
      <c r="F121" s="21">
        <v>4.65</v>
      </c>
      <c r="G121" s="41">
        <v>0</v>
      </c>
      <c r="H121" s="21"/>
      <c r="I121" s="21">
        <f aca="true" t="shared" si="48" ref="I121:I124">F121*G121</f>
        <v>0</v>
      </c>
      <c r="J121" s="21">
        <v>2.52173</v>
      </c>
      <c r="K121" s="21">
        <f aca="true" t="shared" si="49" ref="K121:K133">F121*J121</f>
        <v>11.7260445</v>
      </c>
      <c r="L121" s="22" t="s">
        <v>42</v>
      </c>
      <c r="M121" s="21">
        <f aca="true" t="shared" si="50" ref="M121:M133">IF(L121="5",H121,0)</f>
        <v>0</v>
      </c>
      <c r="X121" s="21">
        <f aca="true" t="shared" si="51" ref="X121:X133">IF(AB121=0,I121,0)</f>
        <v>0</v>
      </c>
      <c r="Y121" s="21">
        <f aca="true" t="shared" si="52" ref="Y121:Y133">IF(AB121=15,I121,0)</f>
        <v>0</v>
      </c>
      <c r="Z121" s="21">
        <f aca="true" t="shared" si="53" ref="Z121:Z133">IF(AB121=21,I121,0)</f>
        <v>0</v>
      </c>
      <c r="AB121" s="21">
        <v>21</v>
      </c>
      <c r="AC121" s="21">
        <f>G121*0.0623773303504847</f>
        <v>0</v>
      </c>
      <c r="AD121" s="21">
        <f>G121*(1-0.0623773303504847)</f>
        <v>0</v>
      </c>
      <c r="AK121" s="21">
        <f aca="true" t="shared" si="54" ref="AK121:AK133">F121*AC121</f>
        <v>0</v>
      </c>
      <c r="AL121" s="21">
        <f aca="true" t="shared" si="55" ref="AL121:AL133">F121*AD121</f>
        <v>0</v>
      </c>
      <c r="AM121" s="22" t="s">
        <v>366</v>
      </c>
      <c r="AN121" s="22" t="s">
        <v>337</v>
      </c>
      <c r="AO121" s="15" t="s">
        <v>49</v>
      </c>
    </row>
    <row r="122" spans="1:41" ht="12.75">
      <c r="A122" s="2" t="s">
        <v>367</v>
      </c>
      <c r="B122" s="2"/>
      <c r="C122" s="2" t="s">
        <v>364</v>
      </c>
      <c r="D122" s="2" t="s">
        <v>365</v>
      </c>
      <c r="E122" s="2" t="s">
        <v>84</v>
      </c>
      <c r="F122" s="21">
        <v>6.76</v>
      </c>
      <c r="G122" s="41">
        <v>0</v>
      </c>
      <c r="H122" s="21"/>
      <c r="I122" s="21">
        <f t="shared" si="48"/>
        <v>0</v>
      </c>
      <c r="J122" s="21">
        <v>2.52173</v>
      </c>
      <c r="K122" s="21">
        <f t="shared" si="49"/>
        <v>17.046894799999997</v>
      </c>
      <c r="L122" s="22" t="s">
        <v>42</v>
      </c>
      <c r="M122" s="21">
        <f t="shared" si="50"/>
        <v>0</v>
      </c>
      <c r="X122" s="21">
        <f t="shared" si="51"/>
        <v>0</v>
      </c>
      <c r="Y122" s="21">
        <f t="shared" si="52"/>
        <v>0</v>
      </c>
      <c r="Z122" s="21">
        <f t="shared" si="53"/>
        <v>0</v>
      </c>
      <c r="AB122" s="21">
        <v>21</v>
      </c>
      <c r="AC122" s="21">
        <f>G122*0.0623773303504847</f>
        <v>0</v>
      </c>
      <c r="AD122" s="21">
        <f>G122*(1-0.0623773303504847)</f>
        <v>0</v>
      </c>
      <c r="AK122" s="21">
        <f t="shared" si="54"/>
        <v>0</v>
      </c>
      <c r="AL122" s="21">
        <f t="shared" si="55"/>
        <v>0</v>
      </c>
      <c r="AM122" s="22" t="s">
        <v>366</v>
      </c>
      <c r="AN122" s="22" t="s">
        <v>337</v>
      </c>
      <c r="AO122" s="15" t="s">
        <v>49</v>
      </c>
    </row>
    <row r="123" spans="1:41" ht="12.75">
      <c r="A123" s="2" t="s">
        <v>368</v>
      </c>
      <c r="B123" s="2"/>
      <c r="C123" s="2" t="s">
        <v>364</v>
      </c>
      <c r="D123" s="2" t="s">
        <v>365</v>
      </c>
      <c r="E123" s="2" t="s">
        <v>84</v>
      </c>
      <c r="F123" s="21">
        <v>4.49</v>
      </c>
      <c r="G123" s="41">
        <v>0</v>
      </c>
      <c r="H123" s="21"/>
      <c r="I123" s="21">
        <f t="shared" si="48"/>
        <v>0</v>
      </c>
      <c r="J123" s="21">
        <v>2.52173</v>
      </c>
      <c r="K123" s="21">
        <f t="shared" si="49"/>
        <v>11.3225677</v>
      </c>
      <c r="L123" s="22" t="s">
        <v>42</v>
      </c>
      <c r="M123" s="21">
        <f t="shared" si="50"/>
        <v>0</v>
      </c>
      <c r="X123" s="21">
        <f t="shared" si="51"/>
        <v>0</v>
      </c>
      <c r="Y123" s="21">
        <f t="shared" si="52"/>
        <v>0</v>
      </c>
      <c r="Z123" s="21">
        <f t="shared" si="53"/>
        <v>0</v>
      </c>
      <c r="AB123" s="21">
        <v>21</v>
      </c>
      <c r="AC123" s="21">
        <f>G123*0.0623773303504847</f>
        <v>0</v>
      </c>
      <c r="AD123" s="21">
        <f>G123*(1-0.0623773303504847)</f>
        <v>0</v>
      </c>
      <c r="AK123" s="21">
        <f t="shared" si="54"/>
        <v>0</v>
      </c>
      <c r="AL123" s="21">
        <f t="shared" si="55"/>
        <v>0</v>
      </c>
      <c r="AM123" s="22" t="s">
        <v>366</v>
      </c>
      <c r="AN123" s="22" t="s">
        <v>337</v>
      </c>
      <c r="AO123" s="15" t="s">
        <v>49</v>
      </c>
    </row>
    <row r="124" spans="1:41" ht="12.75">
      <c r="A124" s="2" t="s">
        <v>369</v>
      </c>
      <c r="B124" s="2"/>
      <c r="C124" s="2" t="s">
        <v>370</v>
      </c>
      <c r="D124" s="2" t="s">
        <v>371</v>
      </c>
      <c r="E124" s="2" t="s">
        <v>84</v>
      </c>
      <c r="F124" s="21">
        <v>2.85</v>
      </c>
      <c r="G124" s="41">
        <v>0</v>
      </c>
      <c r="H124" s="21"/>
      <c r="I124" s="21">
        <f t="shared" si="48"/>
        <v>0</v>
      </c>
      <c r="J124" s="21">
        <v>2.52173</v>
      </c>
      <c r="K124" s="21">
        <f t="shared" si="49"/>
        <v>7.1869305</v>
      </c>
      <c r="L124" s="22" t="s">
        <v>42</v>
      </c>
      <c r="M124" s="21">
        <f t="shared" si="50"/>
        <v>0</v>
      </c>
      <c r="X124" s="21">
        <f t="shared" si="51"/>
        <v>0</v>
      </c>
      <c r="Y124" s="21">
        <f t="shared" si="52"/>
        <v>0</v>
      </c>
      <c r="Z124" s="21">
        <f t="shared" si="53"/>
        <v>0</v>
      </c>
      <c r="AB124" s="21">
        <v>21</v>
      </c>
      <c r="AC124" s="21">
        <f>G124*0.0623773303504847</f>
        <v>0</v>
      </c>
      <c r="AD124" s="21">
        <f>G124*(1-0.0623773303504847)</f>
        <v>0</v>
      </c>
      <c r="AK124" s="21">
        <f t="shared" si="54"/>
        <v>0</v>
      </c>
      <c r="AL124" s="21">
        <f t="shared" si="55"/>
        <v>0</v>
      </c>
      <c r="AM124" s="22" t="s">
        <v>366</v>
      </c>
      <c r="AN124" s="22" t="s">
        <v>337</v>
      </c>
      <c r="AO124" s="15" t="s">
        <v>49</v>
      </c>
    </row>
    <row r="125" spans="1:41" ht="12.75">
      <c r="A125" s="2" t="s">
        <v>331</v>
      </c>
      <c r="B125" s="2"/>
      <c r="C125" s="2" t="s">
        <v>372</v>
      </c>
      <c r="D125" s="2" t="s">
        <v>373</v>
      </c>
      <c r="E125" s="2" t="s">
        <v>59</v>
      </c>
      <c r="F125" s="21">
        <v>1</v>
      </c>
      <c r="G125" s="41">
        <v>0</v>
      </c>
      <c r="H125" s="21"/>
      <c r="I125" s="21">
        <f aca="true" t="shared" si="56" ref="I125:I133">F125*G125</f>
        <v>0</v>
      </c>
      <c r="J125" s="21">
        <v>0.18406</v>
      </c>
      <c r="K125" s="21">
        <f t="shared" si="49"/>
        <v>0.18406</v>
      </c>
      <c r="L125" s="22" t="s">
        <v>42</v>
      </c>
      <c r="M125" s="21">
        <f t="shared" si="50"/>
        <v>0</v>
      </c>
      <c r="X125" s="21">
        <f t="shared" si="51"/>
        <v>0</v>
      </c>
      <c r="Y125" s="21">
        <f t="shared" si="52"/>
        <v>0</v>
      </c>
      <c r="Z125" s="21">
        <f t="shared" si="53"/>
        <v>0</v>
      </c>
      <c r="AB125" s="21">
        <v>21</v>
      </c>
      <c r="AC125" s="21">
        <f>G125*0.0567237163814181</f>
        <v>0</v>
      </c>
      <c r="AD125" s="21">
        <f>G125*(1-0.0567237163814181)</f>
        <v>0</v>
      </c>
      <c r="AK125" s="21">
        <f t="shared" si="54"/>
        <v>0</v>
      </c>
      <c r="AL125" s="21">
        <f t="shared" si="55"/>
        <v>0</v>
      </c>
      <c r="AM125" s="22" t="s">
        <v>366</v>
      </c>
      <c r="AN125" s="22" t="s">
        <v>337</v>
      </c>
      <c r="AO125" s="15" t="s">
        <v>49</v>
      </c>
    </row>
    <row r="126" spans="1:41" ht="12.75">
      <c r="A126" s="2" t="s">
        <v>347</v>
      </c>
      <c r="B126" s="2"/>
      <c r="C126" s="2" t="s">
        <v>364</v>
      </c>
      <c r="D126" s="2" t="s">
        <v>365</v>
      </c>
      <c r="E126" s="2" t="s">
        <v>84</v>
      </c>
      <c r="F126" s="21">
        <v>1.3</v>
      </c>
      <c r="G126" s="41">
        <v>0</v>
      </c>
      <c r="H126" s="21"/>
      <c r="I126" s="21">
        <f t="shared" si="56"/>
        <v>0</v>
      </c>
      <c r="J126" s="21">
        <v>2.52173</v>
      </c>
      <c r="K126" s="21">
        <f t="shared" si="49"/>
        <v>3.2782489999999997</v>
      </c>
      <c r="L126" s="22" t="s">
        <v>42</v>
      </c>
      <c r="M126" s="21">
        <f t="shared" si="50"/>
        <v>0</v>
      </c>
      <c r="X126" s="21">
        <f t="shared" si="51"/>
        <v>0</v>
      </c>
      <c r="Y126" s="21">
        <f t="shared" si="52"/>
        <v>0</v>
      </c>
      <c r="Z126" s="21">
        <f t="shared" si="53"/>
        <v>0</v>
      </c>
      <c r="AB126" s="21">
        <v>21</v>
      </c>
      <c r="AC126" s="21">
        <f>G126*0.0623773303504847</f>
        <v>0</v>
      </c>
      <c r="AD126" s="21">
        <f>G126*(1-0.0623773303504847)</f>
        <v>0</v>
      </c>
      <c r="AK126" s="21">
        <f t="shared" si="54"/>
        <v>0</v>
      </c>
      <c r="AL126" s="21">
        <f t="shared" si="55"/>
        <v>0</v>
      </c>
      <c r="AM126" s="22" t="s">
        <v>366</v>
      </c>
      <c r="AN126" s="22" t="s">
        <v>337</v>
      </c>
      <c r="AO126" s="15" t="s">
        <v>49</v>
      </c>
    </row>
    <row r="127" spans="1:41" ht="12.75">
      <c r="A127" s="2" t="s">
        <v>374</v>
      </c>
      <c r="B127" s="2"/>
      <c r="C127" s="2" t="s">
        <v>375</v>
      </c>
      <c r="D127" s="2" t="s">
        <v>376</v>
      </c>
      <c r="E127" s="2" t="s">
        <v>59</v>
      </c>
      <c r="F127" s="21">
        <v>1</v>
      </c>
      <c r="G127" s="41">
        <v>0</v>
      </c>
      <c r="H127" s="21"/>
      <c r="I127" s="21">
        <f t="shared" si="56"/>
        <v>0</v>
      </c>
      <c r="J127" s="21">
        <v>2.00147</v>
      </c>
      <c r="K127" s="21">
        <f t="shared" si="49"/>
        <v>2.00147</v>
      </c>
      <c r="L127" s="22" t="s">
        <v>42</v>
      </c>
      <c r="M127" s="21">
        <f t="shared" si="50"/>
        <v>0</v>
      </c>
      <c r="X127" s="21">
        <f t="shared" si="51"/>
        <v>0</v>
      </c>
      <c r="Y127" s="21">
        <f t="shared" si="52"/>
        <v>0</v>
      </c>
      <c r="Z127" s="21">
        <f t="shared" si="53"/>
        <v>0</v>
      </c>
      <c r="AB127" s="21">
        <v>21</v>
      </c>
      <c r="AC127" s="21">
        <f>G127*0.137943514016733</f>
        <v>0</v>
      </c>
      <c r="AD127" s="21">
        <f>G127*(1-0.137943514016733)</f>
        <v>0</v>
      </c>
      <c r="AK127" s="21">
        <f t="shared" si="54"/>
        <v>0</v>
      </c>
      <c r="AL127" s="21">
        <f t="shared" si="55"/>
        <v>0</v>
      </c>
      <c r="AM127" s="22" t="s">
        <v>366</v>
      </c>
      <c r="AN127" s="22" t="s">
        <v>337</v>
      </c>
      <c r="AO127" s="15" t="s">
        <v>49</v>
      </c>
    </row>
    <row r="128" spans="1:41" ht="12.75">
      <c r="A128" s="2" t="s">
        <v>361</v>
      </c>
      <c r="B128" s="2"/>
      <c r="C128" s="2" t="s">
        <v>364</v>
      </c>
      <c r="D128" s="2" t="s">
        <v>365</v>
      </c>
      <c r="E128" s="2" t="s">
        <v>84</v>
      </c>
      <c r="F128" s="21">
        <v>0.09</v>
      </c>
      <c r="G128" s="41">
        <v>0</v>
      </c>
      <c r="H128" s="21"/>
      <c r="I128" s="21">
        <f t="shared" si="56"/>
        <v>0</v>
      </c>
      <c r="J128" s="21">
        <v>2.52173</v>
      </c>
      <c r="K128" s="21">
        <f t="shared" si="49"/>
        <v>0.22695569999999998</v>
      </c>
      <c r="L128" s="22" t="s">
        <v>42</v>
      </c>
      <c r="M128" s="21">
        <f t="shared" si="50"/>
        <v>0</v>
      </c>
      <c r="X128" s="21">
        <f t="shared" si="51"/>
        <v>0</v>
      </c>
      <c r="Y128" s="21">
        <f t="shared" si="52"/>
        <v>0</v>
      </c>
      <c r="Z128" s="21">
        <f t="shared" si="53"/>
        <v>0</v>
      </c>
      <c r="AB128" s="21">
        <v>21</v>
      </c>
      <c r="AC128" s="21">
        <f>G128*0.0623773303504847</f>
        <v>0</v>
      </c>
      <c r="AD128" s="21">
        <f>G128*(1-0.0623773303504847)</f>
        <v>0</v>
      </c>
      <c r="AK128" s="21">
        <f t="shared" si="54"/>
        <v>0</v>
      </c>
      <c r="AL128" s="21">
        <f t="shared" si="55"/>
        <v>0</v>
      </c>
      <c r="AM128" s="22" t="s">
        <v>366</v>
      </c>
      <c r="AN128" s="22" t="s">
        <v>337</v>
      </c>
      <c r="AO128" s="15" t="s">
        <v>49</v>
      </c>
    </row>
    <row r="129" spans="1:41" ht="12.75">
      <c r="A129" s="2" t="s">
        <v>377</v>
      </c>
      <c r="B129" s="2"/>
      <c r="C129" s="2" t="s">
        <v>378</v>
      </c>
      <c r="D129" s="2" t="s">
        <v>379</v>
      </c>
      <c r="E129" s="2" t="s">
        <v>59</v>
      </c>
      <c r="F129" s="21">
        <v>4</v>
      </c>
      <c r="G129" s="41">
        <v>0</v>
      </c>
      <c r="H129" s="21"/>
      <c r="I129" s="21">
        <f t="shared" si="56"/>
        <v>0</v>
      </c>
      <c r="J129" s="21">
        <v>0.082</v>
      </c>
      <c r="K129" s="21">
        <f t="shared" si="49"/>
        <v>0.328</v>
      </c>
      <c r="L129" s="22" t="s">
        <v>42</v>
      </c>
      <c r="M129" s="21">
        <f t="shared" si="50"/>
        <v>0</v>
      </c>
      <c r="X129" s="21">
        <f t="shared" si="51"/>
        <v>0</v>
      </c>
      <c r="Y129" s="21">
        <f t="shared" si="52"/>
        <v>0</v>
      </c>
      <c r="Z129" s="21">
        <f t="shared" si="53"/>
        <v>0</v>
      </c>
      <c r="AB129" s="21">
        <v>21</v>
      </c>
      <c r="AC129" s="21">
        <f>G129*0</f>
        <v>0</v>
      </c>
      <c r="AD129" s="21">
        <f>G129*(1-0)</f>
        <v>0</v>
      </c>
      <c r="AK129" s="21">
        <f t="shared" si="54"/>
        <v>0</v>
      </c>
      <c r="AL129" s="21">
        <f t="shared" si="55"/>
        <v>0</v>
      </c>
      <c r="AM129" s="22" t="s">
        <v>366</v>
      </c>
      <c r="AN129" s="22" t="s">
        <v>337</v>
      </c>
      <c r="AO129" s="15" t="s">
        <v>49</v>
      </c>
    </row>
    <row r="130" spans="1:41" ht="12.75">
      <c r="A130" s="2" t="s">
        <v>380</v>
      </c>
      <c r="B130" s="2"/>
      <c r="C130" s="2" t="s">
        <v>381</v>
      </c>
      <c r="D130" s="2" t="s">
        <v>382</v>
      </c>
      <c r="E130" s="2" t="s">
        <v>45</v>
      </c>
      <c r="F130" s="21">
        <v>50.57</v>
      </c>
      <c r="G130" s="41">
        <v>0</v>
      </c>
      <c r="H130" s="21"/>
      <c r="I130" s="21">
        <f t="shared" si="56"/>
        <v>0</v>
      </c>
      <c r="J130" s="21">
        <v>0</v>
      </c>
      <c r="K130" s="21">
        <f t="shared" si="49"/>
        <v>0</v>
      </c>
      <c r="L130" s="22" t="s">
        <v>46</v>
      </c>
      <c r="M130" s="21">
        <f t="shared" si="50"/>
        <v>0</v>
      </c>
      <c r="X130" s="21">
        <f t="shared" si="51"/>
        <v>0</v>
      </c>
      <c r="Y130" s="21">
        <f t="shared" si="52"/>
        <v>0</v>
      </c>
      <c r="Z130" s="21">
        <f t="shared" si="53"/>
        <v>0</v>
      </c>
      <c r="AB130" s="21">
        <v>21</v>
      </c>
      <c r="AC130" s="21">
        <f>G130*0</f>
        <v>0</v>
      </c>
      <c r="AD130" s="21">
        <f>G130*(1-0)</f>
        <v>0</v>
      </c>
      <c r="AK130" s="21">
        <f t="shared" si="54"/>
        <v>0</v>
      </c>
      <c r="AL130" s="21">
        <f t="shared" si="55"/>
        <v>0</v>
      </c>
      <c r="AM130" s="22" t="s">
        <v>366</v>
      </c>
      <c r="AN130" s="22" t="s">
        <v>337</v>
      </c>
      <c r="AO130" s="15" t="s">
        <v>49</v>
      </c>
    </row>
    <row r="131" spans="1:41" ht="12.75">
      <c r="A131" s="2" t="s">
        <v>383</v>
      </c>
      <c r="B131" s="2"/>
      <c r="C131" s="2" t="s">
        <v>95</v>
      </c>
      <c r="D131" s="2" t="s">
        <v>96</v>
      </c>
      <c r="E131" s="2" t="s">
        <v>45</v>
      </c>
      <c r="F131" s="21">
        <v>50.57</v>
      </c>
      <c r="G131" s="41">
        <v>0</v>
      </c>
      <c r="H131" s="21"/>
      <c r="I131" s="21">
        <f t="shared" si="56"/>
        <v>0</v>
      </c>
      <c r="J131" s="21">
        <v>0</v>
      </c>
      <c r="K131" s="21">
        <f t="shared" si="49"/>
        <v>0</v>
      </c>
      <c r="L131" s="22" t="s">
        <v>46</v>
      </c>
      <c r="M131" s="21">
        <f t="shared" si="50"/>
        <v>0</v>
      </c>
      <c r="X131" s="21">
        <f t="shared" si="51"/>
        <v>0</v>
      </c>
      <c r="Y131" s="21">
        <f t="shared" si="52"/>
        <v>0</v>
      </c>
      <c r="Z131" s="21">
        <f t="shared" si="53"/>
        <v>0</v>
      </c>
      <c r="AB131" s="21">
        <v>21</v>
      </c>
      <c r="AC131" s="21">
        <f>G131*0</f>
        <v>0</v>
      </c>
      <c r="AD131" s="21">
        <f>G131*(1-0)</f>
        <v>0</v>
      </c>
      <c r="AK131" s="21">
        <f t="shared" si="54"/>
        <v>0</v>
      </c>
      <c r="AL131" s="21">
        <f t="shared" si="55"/>
        <v>0</v>
      </c>
      <c r="AM131" s="22" t="s">
        <v>366</v>
      </c>
      <c r="AN131" s="22" t="s">
        <v>337</v>
      </c>
      <c r="AO131" s="15" t="s">
        <v>49</v>
      </c>
    </row>
    <row r="132" spans="1:41" ht="12.75">
      <c r="A132" s="2" t="s">
        <v>384</v>
      </c>
      <c r="B132" s="2"/>
      <c r="C132" s="2" t="s">
        <v>98</v>
      </c>
      <c r="D132" s="2" t="s">
        <v>99</v>
      </c>
      <c r="E132" s="2" t="s">
        <v>45</v>
      </c>
      <c r="F132" s="21">
        <v>303.42</v>
      </c>
      <c r="G132" s="41">
        <v>0</v>
      </c>
      <c r="H132" s="21"/>
      <c r="I132" s="21">
        <f t="shared" si="56"/>
        <v>0</v>
      </c>
      <c r="J132" s="21">
        <v>0</v>
      </c>
      <c r="K132" s="21">
        <f t="shared" si="49"/>
        <v>0</v>
      </c>
      <c r="L132" s="22" t="s">
        <v>46</v>
      </c>
      <c r="M132" s="21">
        <f t="shared" si="50"/>
        <v>0</v>
      </c>
      <c r="X132" s="21">
        <f t="shared" si="51"/>
        <v>0</v>
      </c>
      <c r="Y132" s="21">
        <f t="shared" si="52"/>
        <v>0</v>
      </c>
      <c r="Z132" s="21">
        <f t="shared" si="53"/>
        <v>0</v>
      </c>
      <c r="AB132" s="21">
        <v>21</v>
      </c>
      <c r="AC132" s="21">
        <f>G132*0</f>
        <v>0</v>
      </c>
      <c r="AD132" s="21">
        <f>G132*(1-0)</f>
        <v>0</v>
      </c>
      <c r="AK132" s="21">
        <f t="shared" si="54"/>
        <v>0</v>
      </c>
      <c r="AL132" s="21">
        <f t="shared" si="55"/>
        <v>0</v>
      </c>
      <c r="AM132" s="22" t="s">
        <v>366</v>
      </c>
      <c r="AN132" s="22" t="s">
        <v>337</v>
      </c>
      <c r="AO132" s="15" t="s">
        <v>49</v>
      </c>
    </row>
    <row r="133" spans="1:41" ht="12.75">
      <c r="A133" s="2" t="s">
        <v>385</v>
      </c>
      <c r="B133" s="2"/>
      <c r="C133" s="2" t="s">
        <v>386</v>
      </c>
      <c r="D133" s="2" t="s">
        <v>387</v>
      </c>
      <c r="E133" s="2" t="s">
        <v>45</v>
      </c>
      <c r="F133" s="21">
        <v>53.30117</v>
      </c>
      <c r="G133" s="41">
        <v>0</v>
      </c>
      <c r="H133" s="21"/>
      <c r="I133" s="21">
        <f t="shared" si="56"/>
        <v>0</v>
      </c>
      <c r="J133" s="21">
        <v>0</v>
      </c>
      <c r="K133" s="21">
        <f t="shared" si="49"/>
        <v>0</v>
      </c>
      <c r="L133" s="22" t="s">
        <v>46</v>
      </c>
      <c r="M133" s="21">
        <f t="shared" si="50"/>
        <v>0</v>
      </c>
      <c r="X133" s="21">
        <f t="shared" si="51"/>
        <v>0</v>
      </c>
      <c r="Y133" s="21">
        <f t="shared" si="52"/>
        <v>0</v>
      </c>
      <c r="Z133" s="21">
        <f t="shared" si="53"/>
        <v>0</v>
      </c>
      <c r="AB133" s="21">
        <v>21</v>
      </c>
      <c r="AC133" s="21">
        <f>G133*0</f>
        <v>0</v>
      </c>
      <c r="AD133" s="21">
        <f>G133*(1-0)</f>
        <v>0</v>
      </c>
      <c r="AK133" s="21">
        <f t="shared" si="54"/>
        <v>0</v>
      </c>
      <c r="AL133" s="21">
        <f t="shared" si="55"/>
        <v>0</v>
      </c>
      <c r="AM133" s="22" t="s">
        <v>366</v>
      </c>
      <c r="AN133" s="22" t="s">
        <v>337</v>
      </c>
      <c r="AO133" s="15" t="s">
        <v>49</v>
      </c>
    </row>
    <row r="134" spans="1:35" ht="12.75">
      <c r="A134" s="23"/>
      <c r="B134" s="24"/>
      <c r="C134" s="24" t="s">
        <v>380</v>
      </c>
      <c r="D134" s="64" t="s">
        <v>388</v>
      </c>
      <c r="E134" s="64"/>
      <c r="F134" s="64"/>
      <c r="G134" s="64"/>
      <c r="H134" s="20"/>
      <c r="I134" s="20"/>
      <c r="J134" s="15"/>
      <c r="K134" s="20">
        <f>SUM(K135:K141)</f>
        <v>80.77888499999999</v>
      </c>
      <c r="N134" s="20">
        <f>IF(O134="PR",I134,SUM(M135:M141))</f>
        <v>0</v>
      </c>
      <c r="O134" s="15" t="s">
        <v>41</v>
      </c>
      <c r="P134" s="20" t="e">
        <f>IF(O134="HS",#REF!,0)</f>
        <v>#REF!</v>
      </c>
      <c r="Q134" s="20">
        <f>IF(O134="HS",H134-N134,0)</f>
        <v>0</v>
      </c>
      <c r="R134" s="20">
        <f>IF(O134="PS",#REF!,0)</f>
        <v>0</v>
      </c>
      <c r="S134" s="20">
        <f>IF(O134="PS",H134-N134,0)</f>
        <v>0</v>
      </c>
      <c r="T134" s="20">
        <f>IF(O134="MP",#REF!,0)</f>
        <v>0</v>
      </c>
      <c r="U134" s="20">
        <f>IF(O134="MP",H134-N134,0)</f>
        <v>0</v>
      </c>
      <c r="V134" s="20">
        <f>IF(O134="OM",#REF!,0)</f>
        <v>0</v>
      </c>
      <c r="W134" s="15"/>
      <c r="AG134" s="20">
        <f>SUM(X135:X141)</f>
        <v>0</v>
      </c>
      <c r="AH134" s="20">
        <f>SUM(Y135:Y141)</f>
        <v>0</v>
      </c>
      <c r="AI134" s="20">
        <f>SUM(Z135:Z141)</f>
        <v>0</v>
      </c>
    </row>
    <row r="135" spans="1:41" ht="12.75">
      <c r="A135" s="2" t="s">
        <v>389</v>
      </c>
      <c r="B135" s="2"/>
      <c r="C135" s="2" t="s">
        <v>390</v>
      </c>
      <c r="D135" s="2" t="s">
        <v>391</v>
      </c>
      <c r="E135" s="2" t="s">
        <v>84</v>
      </c>
      <c r="F135" s="21">
        <v>33.5</v>
      </c>
      <c r="G135" s="41">
        <v>0</v>
      </c>
      <c r="H135" s="21"/>
      <c r="I135" s="21">
        <f aca="true" t="shared" si="57" ref="I135:I140">F135*G135</f>
        <v>0</v>
      </c>
      <c r="J135" s="21">
        <v>2.41131</v>
      </c>
      <c r="K135" s="21">
        <f aca="true" t="shared" si="58" ref="K135:K141">F135*J135</f>
        <v>80.77888499999999</v>
      </c>
      <c r="L135" s="22" t="s">
        <v>42</v>
      </c>
      <c r="M135" s="21">
        <f aca="true" t="shared" si="59" ref="M135:M141">IF(L135="5",H135,0)</f>
        <v>0</v>
      </c>
      <c r="X135" s="21">
        <f aca="true" t="shared" si="60" ref="X135:X141">IF(AB135=0,I135,0)</f>
        <v>0</v>
      </c>
      <c r="Y135" s="21">
        <f aca="true" t="shared" si="61" ref="Y135:Y141">IF(AB135=15,I135,0)</f>
        <v>0</v>
      </c>
      <c r="Z135" s="21">
        <f aca="true" t="shared" si="62" ref="Z135:Z141">IF(AB135=21,I135,0)</f>
        <v>0</v>
      </c>
      <c r="AB135" s="21">
        <v>21</v>
      </c>
      <c r="AC135" s="21">
        <f>G135*0.00357389321935899</f>
        <v>0</v>
      </c>
      <c r="AD135" s="21">
        <f>G135*(1-0.00357389321935899)</f>
        <v>0</v>
      </c>
      <c r="AK135" s="21">
        <f aca="true" t="shared" si="63" ref="AK135:AK141">F135*AC135</f>
        <v>0</v>
      </c>
      <c r="AL135" s="21">
        <f aca="true" t="shared" si="64" ref="AL135:AL141">F135*AD135</f>
        <v>0</v>
      </c>
      <c r="AM135" s="22" t="s">
        <v>392</v>
      </c>
      <c r="AN135" s="22" t="s">
        <v>337</v>
      </c>
      <c r="AO135" s="15" t="s">
        <v>49</v>
      </c>
    </row>
    <row r="136" spans="1:41" ht="12.75">
      <c r="A136" s="2" t="s">
        <v>393</v>
      </c>
      <c r="B136" s="2"/>
      <c r="C136" s="2" t="s">
        <v>394</v>
      </c>
      <c r="D136" s="2" t="s">
        <v>395</v>
      </c>
      <c r="E136" s="2" t="s">
        <v>45</v>
      </c>
      <c r="F136" s="21">
        <v>80.77889</v>
      </c>
      <c r="G136" s="41">
        <v>0</v>
      </c>
      <c r="H136" s="21"/>
      <c r="I136" s="21">
        <f t="shared" si="57"/>
        <v>0</v>
      </c>
      <c r="J136" s="21">
        <v>0</v>
      </c>
      <c r="K136" s="21">
        <f t="shared" si="58"/>
        <v>0</v>
      </c>
      <c r="L136" s="22" t="s">
        <v>46</v>
      </c>
      <c r="M136" s="21">
        <f t="shared" si="59"/>
        <v>0</v>
      </c>
      <c r="X136" s="21">
        <f t="shared" si="60"/>
        <v>0</v>
      </c>
      <c r="Y136" s="21">
        <f t="shared" si="61"/>
        <v>0</v>
      </c>
      <c r="Z136" s="21">
        <f t="shared" si="62"/>
        <v>0</v>
      </c>
      <c r="AB136" s="21">
        <v>21</v>
      </c>
      <c r="AC136" s="21">
        <f aca="true" t="shared" si="65" ref="AC136:AC141">G136*0</f>
        <v>0</v>
      </c>
      <c r="AD136" s="21">
        <f aca="true" t="shared" si="66" ref="AD136:AD141">G136*(1-0)</f>
        <v>0</v>
      </c>
      <c r="AK136" s="21">
        <f t="shared" si="63"/>
        <v>0</v>
      </c>
      <c r="AL136" s="21">
        <f t="shared" si="64"/>
        <v>0</v>
      </c>
      <c r="AM136" s="22" t="s">
        <v>392</v>
      </c>
      <c r="AN136" s="22" t="s">
        <v>337</v>
      </c>
      <c r="AO136" s="15" t="s">
        <v>49</v>
      </c>
    </row>
    <row r="137" spans="1:41" ht="12.75">
      <c r="A137" s="2" t="s">
        <v>396</v>
      </c>
      <c r="B137" s="2"/>
      <c r="C137" s="2" t="s">
        <v>386</v>
      </c>
      <c r="D137" s="2" t="s">
        <v>387</v>
      </c>
      <c r="E137" s="2" t="s">
        <v>45</v>
      </c>
      <c r="F137" s="21">
        <v>80.77889</v>
      </c>
      <c r="G137" s="41">
        <v>0</v>
      </c>
      <c r="H137" s="21"/>
      <c r="I137" s="21">
        <f t="shared" si="57"/>
        <v>0</v>
      </c>
      <c r="J137" s="21">
        <v>0</v>
      </c>
      <c r="K137" s="21">
        <f t="shared" si="58"/>
        <v>0</v>
      </c>
      <c r="L137" s="22" t="s">
        <v>46</v>
      </c>
      <c r="M137" s="21">
        <f t="shared" si="59"/>
        <v>0</v>
      </c>
      <c r="X137" s="21">
        <f t="shared" si="60"/>
        <v>0</v>
      </c>
      <c r="Y137" s="21">
        <f t="shared" si="61"/>
        <v>0</v>
      </c>
      <c r="Z137" s="21">
        <f t="shared" si="62"/>
        <v>0</v>
      </c>
      <c r="AB137" s="21">
        <v>21</v>
      </c>
      <c r="AC137" s="21">
        <f t="shared" si="65"/>
        <v>0</v>
      </c>
      <c r="AD137" s="21">
        <f t="shared" si="66"/>
        <v>0</v>
      </c>
      <c r="AK137" s="21">
        <f t="shared" si="63"/>
        <v>0</v>
      </c>
      <c r="AL137" s="21">
        <f t="shared" si="64"/>
        <v>0</v>
      </c>
      <c r="AM137" s="22" t="s">
        <v>392</v>
      </c>
      <c r="AN137" s="22" t="s">
        <v>337</v>
      </c>
      <c r="AO137" s="15" t="s">
        <v>49</v>
      </c>
    </row>
    <row r="138" spans="1:41" ht="12.75">
      <c r="A138" s="2" t="s">
        <v>397</v>
      </c>
      <c r="B138" s="2"/>
      <c r="C138" s="2" t="s">
        <v>398</v>
      </c>
      <c r="D138" s="2" t="s">
        <v>399</v>
      </c>
      <c r="E138" s="2" t="s">
        <v>45</v>
      </c>
      <c r="F138" s="21">
        <v>80.77889</v>
      </c>
      <c r="G138" s="41">
        <v>0</v>
      </c>
      <c r="H138" s="21"/>
      <c r="I138" s="21">
        <f t="shared" si="57"/>
        <v>0</v>
      </c>
      <c r="J138" s="21">
        <v>0</v>
      </c>
      <c r="K138" s="21">
        <f t="shared" si="58"/>
        <v>0</v>
      </c>
      <c r="L138" s="22" t="s">
        <v>46</v>
      </c>
      <c r="M138" s="21">
        <f t="shared" si="59"/>
        <v>0</v>
      </c>
      <c r="X138" s="21">
        <f t="shared" si="60"/>
        <v>0</v>
      </c>
      <c r="Y138" s="21">
        <f t="shared" si="61"/>
        <v>0</v>
      </c>
      <c r="Z138" s="21">
        <f t="shared" si="62"/>
        <v>0</v>
      </c>
      <c r="AB138" s="21">
        <v>21</v>
      </c>
      <c r="AC138" s="21">
        <f t="shared" si="65"/>
        <v>0</v>
      </c>
      <c r="AD138" s="21">
        <f t="shared" si="66"/>
        <v>0</v>
      </c>
      <c r="AK138" s="21">
        <f t="shared" si="63"/>
        <v>0</v>
      </c>
      <c r="AL138" s="21">
        <f t="shared" si="64"/>
        <v>0</v>
      </c>
      <c r="AM138" s="22" t="s">
        <v>392</v>
      </c>
      <c r="AN138" s="22" t="s">
        <v>337</v>
      </c>
      <c r="AO138" s="15" t="s">
        <v>49</v>
      </c>
    </row>
    <row r="139" spans="1:41" ht="12.75">
      <c r="A139" s="2" t="s">
        <v>400</v>
      </c>
      <c r="B139" s="2"/>
      <c r="C139" s="2" t="s">
        <v>401</v>
      </c>
      <c r="D139" s="2" t="s">
        <v>402</v>
      </c>
      <c r="E139" s="2" t="s">
        <v>45</v>
      </c>
      <c r="F139" s="21">
        <v>80.78</v>
      </c>
      <c r="G139" s="41">
        <v>0</v>
      </c>
      <c r="H139" s="21"/>
      <c r="I139" s="21">
        <f t="shared" si="57"/>
        <v>0</v>
      </c>
      <c r="J139" s="21">
        <v>0</v>
      </c>
      <c r="K139" s="21">
        <f t="shared" si="58"/>
        <v>0</v>
      </c>
      <c r="L139" s="22" t="s">
        <v>46</v>
      </c>
      <c r="M139" s="21">
        <f t="shared" si="59"/>
        <v>0</v>
      </c>
      <c r="X139" s="21">
        <f t="shared" si="60"/>
        <v>0</v>
      </c>
      <c r="Y139" s="21">
        <f t="shared" si="61"/>
        <v>0</v>
      </c>
      <c r="Z139" s="21">
        <f t="shared" si="62"/>
        <v>0</v>
      </c>
      <c r="AB139" s="21">
        <v>21</v>
      </c>
      <c r="AC139" s="21">
        <f t="shared" si="65"/>
        <v>0</v>
      </c>
      <c r="AD139" s="21">
        <f t="shared" si="66"/>
        <v>0</v>
      </c>
      <c r="AK139" s="21">
        <f t="shared" si="63"/>
        <v>0</v>
      </c>
      <c r="AL139" s="21">
        <f t="shared" si="64"/>
        <v>0</v>
      </c>
      <c r="AM139" s="22" t="s">
        <v>392</v>
      </c>
      <c r="AN139" s="22" t="s">
        <v>337</v>
      </c>
      <c r="AO139" s="15" t="s">
        <v>49</v>
      </c>
    </row>
    <row r="140" spans="1:41" ht="12.75">
      <c r="A140" s="2" t="s">
        <v>403</v>
      </c>
      <c r="B140" s="2"/>
      <c r="C140" s="2" t="s">
        <v>95</v>
      </c>
      <c r="D140" s="2" t="s">
        <v>96</v>
      </c>
      <c r="E140" s="2" t="s">
        <v>45</v>
      </c>
      <c r="F140" s="21">
        <v>80.77889</v>
      </c>
      <c r="G140" s="41">
        <v>0</v>
      </c>
      <c r="H140" s="21"/>
      <c r="I140" s="21">
        <f t="shared" si="57"/>
        <v>0</v>
      </c>
      <c r="J140" s="21">
        <v>0</v>
      </c>
      <c r="K140" s="21">
        <f t="shared" si="58"/>
        <v>0</v>
      </c>
      <c r="L140" s="22" t="s">
        <v>46</v>
      </c>
      <c r="M140" s="21">
        <f t="shared" si="59"/>
        <v>0</v>
      </c>
      <c r="X140" s="21">
        <f t="shared" si="60"/>
        <v>0</v>
      </c>
      <c r="Y140" s="21">
        <f t="shared" si="61"/>
        <v>0</v>
      </c>
      <c r="Z140" s="21">
        <f t="shared" si="62"/>
        <v>0</v>
      </c>
      <c r="AB140" s="21">
        <v>21</v>
      </c>
      <c r="AC140" s="21">
        <f t="shared" si="65"/>
        <v>0</v>
      </c>
      <c r="AD140" s="21">
        <f t="shared" si="66"/>
        <v>0</v>
      </c>
      <c r="AK140" s="21">
        <f t="shared" si="63"/>
        <v>0</v>
      </c>
      <c r="AL140" s="21">
        <f t="shared" si="64"/>
        <v>0</v>
      </c>
      <c r="AM140" s="22" t="s">
        <v>392</v>
      </c>
      <c r="AN140" s="22" t="s">
        <v>337</v>
      </c>
      <c r="AO140" s="15" t="s">
        <v>49</v>
      </c>
    </row>
    <row r="141" spans="1:41" ht="12.75">
      <c r="A141" s="25" t="s">
        <v>404</v>
      </c>
      <c r="B141" s="25"/>
      <c r="C141" s="25" t="s">
        <v>98</v>
      </c>
      <c r="D141" s="25" t="s">
        <v>99</v>
      </c>
      <c r="E141" s="25" t="s">
        <v>45</v>
      </c>
      <c r="F141" s="26">
        <v>484.67</v>
      </c>
      <c r="G141" s="41">
        <v>0</v>
      </c>
      <c r="H141" s="21"/>
      <c r="I141" s="21">
        <f aca="true" t="shared" si="67" ref="I141">F141*G141</f>
        <v>0</v>
      </c>
      <c r="J141" s="26">
        <v>0</v>
      </c>
      <c r="K141" s="26">
        <f t="shared" si="58"/>
        <v>0</v>
      </c>
      <c r="L141" s="22" t="s">
        <v>46</v>
      </c>
      <c r="M141" s="21">
        <f t="shared" si="59"/>
        <v>0</v>
      </c>
      <c r="X141" s="21">
        <f t="shared" si="60"/>
        <v>0</v>
      </c>
      <c r="Y141" s="21">
        <f t="shared" si="61"/>
        <v>0</v>
      </c>
      <c r="Z141" s="21">
        <f t="shared" si="62"/>
        <v>0</v>
      </c>
      <c r="AB141" s="21">
        <v>21</v>
      </c>
      <c r="AC141" s="21">
        <f t="shared" si="65"/>
        <v>0</v>
      </c>
      <c r="AD141" s="21">
        <f t="shared" si="66"/>
        <v>0</v>
      </c>
      <c r="AK141" s="21">
        <f t="shared" si="63"/>
        <v>0</v>
      </c>
      <c r="AL141" s="21">
        <f t="shared" si="64"/>
        <v>0</v>
      </c>
      <c r="AM141" s="22" t="s">
        <v>392</v>
      </c>
      <c r="AN141" s="22" t="s">
        <v>337</v>
      </c>
      <c r="AO141" s="15" t="s">
        <v>49</v>
      </c>
    </row>
    <row r="142" spans="1:26" ht="12.75">
      <c r="A142" s="27"/>
      <c r="B142" s="27"/>
      <c r="C142" s="27"/>
      <c r="D142" s="27"/>
      <c r="E142" s="27"/>
      <c r="F142" s="27"/>
      <c r="G142" s="27"/>
      <c r="H142" s="38"/>
      <c r="I142" s="28"/>
      <c r="J142" s="27"/>
      <c r="K142" s="27"/>
      <c r="X142" s="29">
        <f>SUM(X13:X141)</f>
        <v>0</v>
      </c>
      <c r="Y142" s="29">
        <f>SUM(Y13:Y141)</f>
        <v>0</v>
      </c>
      <c r="Z142" s="29">
        <f>SUM(Z13:Z141)</f>
        <v>0</v>
      </c>
    </row>
    <row r="143" ht="10.9" customHeight="1">
      <c r="A143" s="30" t="s">
        <v>405</v>
      </c>
    </row>
    <row r="144" spans="4:9" ht="27.4" customHeight="1">
      <c r="D144" s="2" t="s">
        <v>467</v>
      </c>
      <c r="I144" s="39">
        <f>SUM(I13:I141)</f>
        <v>0</v>
      </c>
    </row>
    <row r="145" spans="4:9" ht="27.4" customHeight="1">
      <c r="D145" s="2"/>
      <c r="G145" t="s">
        <v>471</v>
      </c>
      <c r="I145" s="39"/>
    </row>
    <row r="146" spans="4:9" ht="12.75">
      <c r="D146" s="2" t="s">
        <v>468</v>
      </c>
      <c r="F146" s="39">
        <f>I144</f>
        <v>0</v>
      </c>
      <c r="G146" s="42">
        <v>0</v>
      </c>
      <c r="I146" s="40">
        <f>F146*G146*0.01</f>
        <v>0</v>
      </c>
    </row>
    <row r="147" spans="4:9" ht="12.75">
      <c r="D147" s="2" t="s">
        <v>469</v>
      </c>
      <c r="F147" s="39">
        <f>I145</f>
        <v>0</v>
      </c>
      <c r="G147" s="42">
        <v>0</v>
      </c>
      <c r="I147">
        <f>F147*G147*0.01</f>
        <v>0</v>
      </c>
    </row>
    <row r="149" spans="4:9" ht="15.75">
      <c r="D149" s="66" t="s">
        <v>470</v>
      </c>
      <c r="E149" s="67"/>
      <c r="F149" s="67"/>
      <c r="G149" s="67"/>
      <c r="H149" s="67"/>
      <c r="I149" s="68">
        <f>SUM(I144:I147)</f>
        <v>0</v>
      </c>
    </row>
  </sheetData>
  <sheetProtection selectLockedCells="1" selectUnlockedCells="1"/>
  <mergeCells count="49">
    <mergeCell ref="D107:G107"/>
    <mergeCell ref="D110:G110"/>
    <mergeCell ref="D115:G115"/>
    <mergeCell ref="D120:G120"/>
    <mergeCell ref="D134:G134"/>
    <mergeCell ref="D85:G85"/>
    <mergeCell ref="D91:G91"/>
    <mergeCell ref="D97:G97"/>
    <mergeCell ref="D99:G99"/>
    <mergeCell ref="D105:G105"/>
    <mergeCell ref="D55:G55"/>
    <mergeCell ref="D61:G61"/>
    <mergeCell ref="D63:G63"/>
    <mergeCell ref="D70:G70"/>
    <mergeCell ref="D82:G82"/>
    <mergeCell ref="D36:G36"/>
    <mergeCell ref="D38:G38"/>
    <mergeCell ref="D43:G43"/>
    <mergeCell ref="D48:G48"/>
    <mergeCell ref="D50:G50"/>
    <mergeCell ref="I8:K9"/>
    <mergeCell ref="H10:I10"/>
    <mergeCell ref="J10:K10"/>
    <mergeCell ref="D12:G12"/>
    <mergeCell ref="D33:G33"/>
    <mergeCell ref="A8:C9"/>
    <mergeCell ref="D8:D9"/>
    <mergeCell ref="E8:F9"/>
    <mergeCell ref="G8:G9"/>
    <mergeCell ref="H8:H9"/>
    <mergeCell ref="I4:K5"/>
    <mergeCell ref="A6:C7"/>
    <mergeCell ref="D6:D7"/>
    <mergeCell ref="E6:F7"/>
    <mergeCell ref="G6:G7"/>
    <mergeCell ref="H6:H7"/>
    <mergeCell ref="I6:K7"/>
    <mergeCell ref="A4:C5"/>
    <mergeCell ref="D4:D5"/>
    <mergeCell ref="E4:F5"/>
    <mergeCell ref="G4:G5"/>
    <mergeCell ref="H4:H5"/>
    <mergeCell ref="A1:K1"/>
    <mergeCell ref="A2:C3"/>
    <mergeCell ref="D2:D3"/>
    <mergeCell ref="E2:F3"/>
    <mergeCell ref="G2:G3"/>
    <mergeCell ref="H2:H3"/>
    <mergeCell ref="I2:K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workbookViewId="0" topLeftCell="A91">
      <selection activeCell="D90" sqref="D90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60.8515625" style="0" customWidth="1"/>
    <col min="5" max="5" width="14.71093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18.75" customHeight="1">
      <c r="A1" s="43" t="s">
        <v>406</v>
      </c>
      <c r="B1" s="43"/>
      <c r="C1" s="43"/>
      <c r="D1" s="43"/>
      <c r="E1" s="43"/>
      <c r="F1" s="43"/>
      <c r="G1" s="43"/>
      <c r="H1" s="43"/>
    </row>
    <row r="2" spans="1:9" ht="12.75" customHeight="1">
      <c r="A2" s="44" t="s">
        <v>1</v>
      </c>
      <c r="B2" s="44"/>
      <c r="C2" s="45" t="s">
        <v>2</v>
      </c>
      <c r="D2" s="45"/>
      <c r="E2" s="47" t="s">
        <v>4</v>
      </c>
      <c r="F2" s="49"/>
      <c r="G2" s="49"/>
      <c r="H2" s="49"/>
      <c r="I2" s="1"/>
    </row>
    <row r="3" spans="1:9" ht="12.75" customHeight="1">
      <c r="A3" s="44"/>
      <c r="B3" s="44"/>
      <c r="C3" s="45"/>
      <c r="D3" s="45"/>
      <c r="E3" s="47"/>
      <c r="F3" s="47"/>
      <c r="G3" s="49"/>
      <c r="H3" s="49"/>
      <c r="I3" s="1"/>
    </row>
    <row r="4" spans="1:9" ht="12.75" customHeight="1">
      <c r="A4" s="51" t="s">
        <v>6</v>
      </c>
      <c r="B4" s="51"/>
      <c r="C4" s="48" t="s">
        <v>7</v>
      </c>
      <c r="D4" s="48"/>
      <c r="E4" s="48" t="s">
        <v>9</v>
      </c>
      <c r="F4" s="50"/>
      <c r="G4" s="50"/>
      <c r="H4" s="50"/>
      <c r="I4" s="1"/>
    </row>
    <row r="5" spans="1:9" ht="12.75" customHeight="1">
      <c r="A5" s="51"/>
      <c r="B5" s="51"/>
      <c r="C5" s="48"/>
      <c r="D5" s="48"/>
      <c r="E5" s="48"/>
      <c r="F5" s="48"/>
      <c r="G5" s="50"/>
      <c r="H5" s="50"/>
      <c r="I5" s="1"/>
    </row>
    <row r="6" spans="1:9" ht="12.75" customHeight="1">
      <c r="A6" s="51" t="s">
        <v>11</v>
      </c>
      <c r="B6" s="51"/>
      <c r="C6" s="48" t="s">
        <v>12</v>
      </c>
      <c r="D6" s="48"/>
      <c r="E6" s="48" t="s">
        <v>14</v>
      </c>
      <c r="F6" s="50"/>
      <c r="G6" s="50"/>
      <c r="H6" s="50"/>
      <c r="I6" s="1"/>
    </row>
    <row r="7" spans="1:9" ht="12.75" customHeight="1">
      <c r="A7" s="51"/>
      <c r="B7" s="51"/>
      <c r="C7" s="48"/>
      <c r="D7" s="48"/>
      <c r="E7" s="48"/>
      <c r="F7" s="48"/>
      <c r="G7" s="50"/>
      <c r="H7" s="50"/>
      <c r="I7" s="1"/>
    </row>
    <row r="8" spans="1:9" ht="12.75" customHeight="1">
      <c r="A8" s="55" t="s">
        <v>17</v>
      </c>
      <c r="B8" s="55"/>
      <c r="C8" s="56" t="s">
        <v>10</v>
      </c>
      <c r="D8" s="56"/>
      <c r="E8" s="57" t="s">
        <v>16</v>
      </c>
      <c r="F8" s="65">
        <v>42551</v>
      </c>
      <c r="G8" s="65"/>
      <c r="H8" s="65"/>
      <c r="I8" s="1"/>
    </row>
    <row r="9" spans="1:9" ht="12.75">
      <c r="A9" s="55"/>
      <c r="B9" s="55"/>
      <c r="C9" s="56"/>
      <c r="D9" s="56"/>
      <c r="E9" s="57"/>
      <c r="F9" s="57"/>
      <c r="G9" s="65"/>
      <c r="H9" s="65"/>
      <c r="I9" s="1"/>
    </row>
    <row r="10" spans="1:9" ht="12.75">
      <c r="A10" s="31" t="s">
        <v>18</v>
      </c>
      <c r="B10" s="32" t="s">
        <v>19</v>
      </c>
      <c r="C10" s="32" t="s">
        <v>20</v>
      </c>
      <c r="D10" s="32" t="s">
        <v>21</v>
      </c>
      <c r="E10" s="32" t="s">
        <v>22</v>
      </c>
      <c r="F10" s="32" t="s">
        <v>27</v>
      </c>
      <c r="G10" s="33" t="s">
        <v>23</v>
      </c>
      <c r="H10" s="34" t="s">
        <v>407</v>
      </c>
      <c r="I10" s="7"/>
    </row>
    <row r="11" spans="1:8" ht="12.75">
      <c r="A11" s="35" t="s">
        <v>42</v>
      </c>
      <c r="B11" s="35"/>
      <c r="C11" s="35" t="s">
        <v>43</v>
      </c>
      <c r="D11" s="35" t="s">
        <v>44</v>
      </c>
      <c r="E11" s="35" t="s">
        <v>45</v>
      </c>
      <c r="F11" s="35"/>
      <c r="G11" s="36">
        <v>129.76</v>
      </c>
      <c r="H11" s="37" t="s">
        <v>408</v>
      </c>
    </row>
    <row r="12" spans="1:8" ht="12.75">
      <c r="A12" s="2" t="s">
        <v>50</v>
      </c>
      <c r="B12" s="2"/>
      <c r="C12" s="2" t="s">
        <v>51</v>
      </c>
      <c r="D12" s="2" t="s">
        <v>52</v>
      </c>
      <c r="E12" s="2" t="s">
        <v>45</v>
      </c>
      <c r="F12" s="2"/>
      <c r="G12" s="21">
        <v>129.76</v>
      </c>
      <c r="H12" s="22" t="s">
        <v>408</v>
      </c>
    </row>
    <row r="13" spans="1:8" ht="12.75">
      <c r="A13" s="2" t="s">
        <v>53</v>
      </c>
      <c r="B13" s="2"/>
      <c r="C13" s="2" t="s">
        <v>54</v>
      </c>
      <c r="D13" s="2" t="s">
        <v>55</v>
      </c>
      <c r="E13" s="2" t="s">
        <v>45</v>
      </c>
      <c r="F13" s="2"/>
      <c r="G13" s="21">
        <v>129.76</v>
      </c>
      <c r="H13" s="22" t="s">
        <v>408</v>
      </c>
    </row>
    <row r="14" spans="1:8" ht="12.75">
      <c r="A14" s="2" t="s">
        <v>56</v>
      </c>
      <c r="B14" s="2"/>
      <c r="C14" s="2" t="s">
        <v>57</v>
      </c>
      <c r="D14" s="2" t="s">
        <v>58</v>
      </c>
      <c r="E14" s="2" t="s">
        <v>59</v>
      </c>
      <c r="F14" s="2" t="s">
        <v>409</v>
      </c>
      <c r="G14" s="21">
        <v>3</v>
      </c>
      <c r="H14" s="22" t="s">
        <v>408</v>
      </c>
    </row>
    <row r="15" spans="1:8" ht="12.75">
      <c r="A15" s="2" t="s">
        <v>69</v>
      </c>
      <c r="B15" s="2"/>
      <c r="C15" s="2" t="s">
        <v>60</v>
      </c>
      <c r="D15" s="2" t="s">
        <v>61</v>
      </c>
      <c r="E15" s="2" t="s">
        <v>62</v>
      </c>
      <c r="F15" s="2" t="s">
        <v>410</v>
      </c>
      <c r="G15" s="21">
        <v>38.48</v>
      </c>
      <c r="H15" s="22" t="s">
        <v>408</v>
      </c>
    </row>
    <row r="16" spans="1:8" ht="12.75">
      <c r="A16" s="2" t="s">
        <v>72</v>
      </c>
      <c r="B16" s="2"/>
      <c r="C16" s="2" t="s">
        <v>64</v>
      </c>
      <c r="D16" s="2" t="s">
        <v>65</v>
      </c>
      <c r="E16" s="2" t="s">
        <v>62</v>
      </c>
      <c r="F16" s="2" t="s">
        <v>411</v>
      </c>
      <c r="G16" s="21">
        <v>55.39</v>
      </c>
      <c r="H16" s="22" t="s">
        <v>408</v>
      </c>
    </row>
    <row r="17" spans="1:8" ht="12.75">
      <c r="A17" s="2" t="s">
        <v>75</v>
      </c>
      <c r="B17" s="2"/>
      <c r="C17" s="2" t="s">
        <v>67</v>
      </c>
      <c r="D17" s="2" t="s">
        <v>68</v>
      </c>
      <c r="E17" s="2" t="s">
        <v>62</v>
      </c>
      <c r="F17" s="2" t="s">
        <v>412</v>
      </c>
      <c r="G17" s="21">
        <v>55.39</v>
      </c>
      <c r="H17" s="22" t="s">
        <v>408</v>
      </c>
    </row>
    <row r="18" spans="1:8" ht="12.75">
      <c r="A18" s="2" t="s">
        <v>39</v>
      </c>
      <c r="B18" s="2"/>
      <c r="C18" s="2" t="s">
        <v>70</v>
      </c>
      <c r="D18" s="2" t="s">
        <v>71</v>
      </c>
      <c r="E18" s="2" t="s">
        <v>62</v>
      </c>
      <c r="F18" s="2" t="s">
        <v>413</v>
      </c>
      <c r="G18" s="21">
        <v>39.96</v>
      </c>
      <c r="H18" s="22" t="s">
        <v>408</v>
      </c>
    </row>
    <row r="19" spans="1:8" ht="12.75">
      <c r="A19" s="2" t="s">
        <v>81</v>
      </c>
      <c r="B19" s="2"/>
      <c r="C19" s="2" t="s">
        <v>73</v>
      </c>
      <c r="D19" s="2" t="s">
        <v>74</v>
      </c>
      <c r="E19" s="2" t="s">
        <v>62</v>
      </c>
      <c r="F19" s="2" t="s">
        <v>414</v>
      </c>
      <c r="G19" s="21">
        <v>38.18</v>
      </c>
      <c r="H19" s="22" t="s">
        <v>408</v>
      </c>
    </row>
    <row r="20" spans="1:8" ht="12.75">
      <c r="A20" s="2" t="s">
        <v>85</v>
      </c>
      <c r="B20" s="2"/>
      <c r="C20" s="2" t="s">
        <v>76</v>
      </c>
      <c r="D20" s="2" t="s">
        <v>77</v>
      </c>
      <c r="E20" s="2" t="s">
        <v>78</v>
      </c>
      <c r="F20" s="2"/>
      <c r="G20" s="21">
        <v>18</v>
      </c>
      <c r="H20" s="22" t="s">
        <v>408</v>
      </c>
    </row>
    <row r="21" spans="1:8" ht="12.75">
      <c r="A21" s="2" t="s">
        <v>88</v>
      </c>
      <c r="B21" s="2"/>
      <c r="C21" s="2" t="s">
        <v>79</v>
      </c>
      <c r="D21" s="2" t="s">
        <v>80</v>
      </c>
      <c r="E21" s="2" t="s">
        <v>62</v>
      </c>
      <c r="F21" s="2" t="s">
        <v>415</v>
      </c>
      <c r="G21" s="21">
        <v>48</v>
      </c>
      <c r="H21" s="22" t="s">
        <v>408</v>
      </c>
    </row>
    <row r="22" spans="1:8" ht="12.75">
      <c r="A22" s="2" t="s">
        <v>91</v>
      </c>
      <c r="B22" s="2"/>
      <c r="C22" s="2" t="s">
        <v>82</v>
      </c>
      <c r="D22" s="2" t="s">
        <v>83</v>
      </c>
      <c r="E22" s="2" t="s">
        <v>84</v>
      </c>
      <c r="F22" s="2" t="s">
        <v>416</v>
      </c>
      <c r="G22" s="21">
        <v>68.4</v>
      </c>
      <c r="H22" s="22" t="s">
        <v>408</v>
      </c>
    </row>
    <row r="23" spans="1:8" ht="12.75">
      <c r="A23" s="2" t="s">
        <v>94</v>
      </c>
      <c r="B23" s="2"/>
      <c r="C23" s="2" t="s">
        <v>86</v>
      </c>
      <c r="D23" s="2" t="s">
        <v>87</v>
      </c>
      <c r="E23" s="2" t="s">
        <v>62</v>
      </c>
      <c r="F23" s="2" t="s">
        <v>417</v>
      </c>
      <c r="G23" s="21">
        <v>55.39</v>
      </c>
      <c r="H23" s="22" t="s">
        <v>408</v>
      </c>
    </row>
    <row r="24" spans="1:8" ht="12.75">
      <c r="A24" s="2" t="s">
        <v>97</v>
      </c>
      <c r="B24" s="2"/>
      <c r="C24" s="2" t="s">
        <v>89</v>
      </c>
      <c r="D24" s="2" t="s">
        <v>90</v>
      </c>
      <c r="E24" s="2" t="s">
        <v>62</v>
      </c>
      <c r="F24" s="2" t="s">
        <v>417</v>
      </c>
      <c r="G24" s="21">
        <v>55.39</v>
      </c>
      <c r="H24" s="22" t="s">
        <v>408</v>
      </c>
    </row>
    <row r="25" spans="1:8" ht="12.75">
      <c r="A25" s="2" t="s">
        <v>100</v>
      </c>
      <c r="B25" s="2"/>
      <c r="C25" s="2" t="s">
        <v>92</v>
      </c>
      <c r="D25" s="2" t="s">
        <v>93</v>
      </c>
      <c r="E25" s="2" t="s">
        <v>84</v>
      </c>
      <c r="F25" s="2" t="s">
        <v>418</v>
      </c>
      <c r="G25" s="21">
        <v>9.6</v>
      </c>
      <c r="H25" s="22" t="s">
        <v>408</v>
      </c>
    </row>
    <row r="26" spans="1:8" ht="12.75">
      <c r="A26" s="2" t="s">
        <v>103</v>
      </c>
      <c r="B26" s="2"/>
      <c r="C26" s="2" t="s">
        <v>101</v>
      </c>
      <c r="D26" s="2" t="s">
        <v>102</v>
      </c>
      <c r="E26" s="2" t="s">
        <v>62</v>
      </c>
      <c r="F26" s="2"/>
      <c r="G26" s="21">
        <v>57.6</v>
      </c>
      <c r="H26" s="22" t="s">
        <v>408</v>
      </c>
    </row>
    <row r="27" spans="1:8" ht="12.75">
      <c r="A27" s="2" t="s">
        <v>106</v>
      </c>
      <c r="B27" s="2"/>
      <c r="C27" s="2" t="s">
        <v>115</v>
      </c>
      <c r="D27" s="2" t="s">
        <v>116</v>
      </c>
      <c r="E27" s="2" t="s">
        <v>84</v>
      </c>
      <c r="F27" s="2" t="s">
        <v>419</v>
      </c>
      <c r="G27" s="21">
        <v>22.5</v>
      </c>
      <c r="H27" s="22" t="s">
        <v>408</v>
      </c>
    </row>
    <row r="28" spans="1:8" ht="12.75">
      <c r="A28" s="2" t="s">
        <v>110</v>
      </c>
      <c r="B28" s="2"/>
      <c r="C28" s="2" t="s">
        <v>124</v>
      </c>
      <c r="D28" s="2" t="s">
        <v>125</v>
      </c>
      <c r="E28" s="2" t="s">
        <v>59</v>
      </c>
      <c r="F28" s="2" t="s">
        <v>53</v>
      </c>
      <c r="G28" s="21">
        <v>3</v>
      </c>
      <c r="H28" s="22" t="s">
        <v>408</v>
      </c>
    </row>
    <row r="29" spans="1:8" ht="12.75">
      <c r="A29" s="2" t="s">
        <v>114</v>
      </c>
      <c r="B29" s="2"/>
      <c r="C29" s="2" t="s">
        <v>128</v>
      </c>
      <c r="D29" s="2" t="s">
        <v>129</v>
      </c>
      <c r="E29" s="2" t="s">
        <v>84</v>
      </c>
      <c r="F29" s="2" t="s">
        <v>420</v>
      </c>
      <c r="G29" s="21">
        <v>25.92</v>
      </c>
      <c r="H29" s="22" t="s">
        <v>408</v>
      </c>
    </row>
    <row r="30" spans="1:8" ht="12.75">
      <c r="A30" s="2" t="s">
        <v>118</v>
      </c>
      <c r="B30" s="2"/>
      <c r="C30" s="2" t="s">
        <v>131</v>
      </c>
      <c r="D30" s="2" t="s">
        <v>132</v>
      </c>
      <c r="E30" s="2" t="s">
        <v>84</v>
      </c>
      <c r="F30" s="2" t="s">
        <v>421</v>
      </c>
      <c r="G30" s="21">
        <v>8.64</v>
      </c>
      <c r="H30" s="22" t="s">
        <v>408</v>
      </c>
    </row>
    <row r="31" spans="1:8" ht="12.75">
      <c r="A31" s="2" t="s">
        <v>123</v>
      </c>
      <c r="B31" s="2"/>
      <c r="C31" s="2" t="s">
        <v>128</v>
      </c>
      <c r="D31" s="2" t="s">
        <v>129</v>
      </c>
      <c r="E31" s="2" t="s">
        <v>84</v>
      </c>
      <c r="F31" s="2" t="s">
        <v>422</v>
      </c>
      <c r="G31" s="21">
        <v>7</v>
      </c>
      <c r="H31" s="22" t="s">
        <v>408</v>
      </c>
    </row>
    <row r="32" spans="1:8" ht="12.75">
      <c r="A32" s="2" t="s">
        <v>127</v>
      </c>
      <c r="B32" s="2"/>
      <c r="C32" s="2" t="s">
        <v>136</v>
      </c>
      <c r="D32" s="2" t="s">
        <v>137</v>
      </c>
      <c r="E32" s="2" t="s">
        <v>62</v>
      </c>
      <c r="F32" s="2" t="s">
        <v>423</v>
      </c>
      <c r="G32" s="21">
        <v>48</v>
      </c>
      <c r="H32" s="22" t="s">
        <v>408</v>
      </c>
    </row>
    <row r="33" spans="1:8" ht="12.75">
      <c r="A33" s="2" t="s">
        <v>130</v>
      </c>
      <c r="B33" s="2"/>
      <c r="C33" s="2" t="s">
        <v>136</v>
      </c>
      <c r="D33" s="2" t="s">
        <v>137</v>
      </c>
      <c r="E33" s="2" t="s">
        <v>62</v>
      </c>
      <c r="F33" s="2"/>
      <c r="G33" s="21">
        <v>36</v>
      </c>
      <c r="H33" s="22" t="s">
        <v>408</v>
      </c>
    </row>
    <row r="34" spans="1:8" ht="12.75">
      <c r="A34" s="2" t="s">
        <v>133</v>
      </c>
      <c r="B34" s="2"/>
      <c r="C34" s="2" t="s">
        <v>144</v>
      </c>
      <c r="D34" s="2" t="s">
        <v>145</v>
      </c>
      <c r="E34" s="2" t="s">
        <v>62</v>
      </c>
      <c r="F34" s="2"/>
      <c r="G34" s="21">
        <v>36</v>
      </c>
      <c r="H34" s="22" t="s">
        <v>408</v>
      </c>
    </row>
    <row r="35" spans="1:8" ht="12.75">
      <c r="A35" s="2" t="s">
        <v>135</v>
      </c>
      <c r="B35" s="2"/>
      <c r="C35" s="2" t="s">
        <v>154</v>
      </c>
      <c r="D35" s="2" t="s">
        <v>155</v>
      </c>
      <c r="E35" s="2" t="s">
        <v>84</v>
      </c>
      <c r="F35" s="2" t="s">
        <v>424</v>
      </c>
      <c r="G35" s="21">
        <v>3.6</v>
      </c>
      <c r="H35" s="22" t="s">
        <v>408</v>
      </c>
    </row>
    <row r="36" spans="1:8" ht="12.75">
      <c r="A36" s="2" t="s">
        <v>139</v>
      </c>
      <c r="B36" s="2"/>
      <c r="C36" s="2" t="s">
        <v>158</v>
      </c>
      <c r="D36" s="2" t="s">
        <v>159</v>
      </c>
      <c r="E36" s="2" t="s">
        <v>62</v>
      </c>
      <c r="F36" s="2" t="s">
        <v>425</v>
      </c>
      <c r="G36" s="21">
        <v>51.71</v>
      </c>
      <c r="H36" s="22" t="s">
        <v>408</v>
      </c>
    </row>
    <row r="37" spans="1:8" ht="12.75">
      <c r="A37" s="2" t="s">
        <v>142</v>
      </c>
      <c r="B37" s="2"/>
      <c r="C37" s="2" t="s">
        <v>161</v>
      </c>
      <c r="D37" s="2" t="s">
        <v>162</v>
      </c>
      <c r="E37" s="2" t="s">
        <v>45</v>
      </c>
      <c r="F37" s="2" t="s">
        <v>426</v>
      </c>
      <c r="G37" s="21">
        <v>0.8</v>
      </c>
      <c r="H37" s="22" t="s">
        <v>408</v>
      </c>
    </row>
    <row r="38" spans="1:8" ht="12.75">
      <c r="A38" s="2" t="s">
        <v>143</v>
      </c>
      <c r="B38" s="2"/>
      <c r="C38" s="2" t="s">
        <v>168</v>
      </c>
      <c r="D38" s="2" t="s">
        <v>169</v>
      </c>
      <c r="E38" s="2" t="s">
        <v>62</v>
      </c>
      <c r="F38" s="2" t="s">
        <v>427</v>
      </c>
      <c r="G38" s="21">
        <v>39.6</v>
      </c>
      <c r="H38" s="22" t="s">
        <v>408</v>
      </c>
    </row>
    <row r="39" spans="1:8" ht="12.75">
      <c r="A39" s="2" t="s">
        <v>147</v>
      </c>
      <c r="B39" s="2"/>
      <c r="C39" s="2" t="s">
        <v>173</v>
      </c>
      <c r="D39" s="2" t="s">
        <v>174</v>
      </c>
      <c r="E39" s="2" t="s">
        <v>62</v>
      </c>
      <c r="F39" s="2" t="s">
        <v>427</v>
      </c>
      <c r="G39" s="21">
        <v>39.6</v>
      </c>
      <c r="H39" s="22" t="s">
        <v>408</v>
      </c>
    </row>
    <row r="40" spans="1:8" ht="12.75">
      <c r="A40" s="2" t="s">
        <v>153</v>
      </c>
      <c r="B40" s="2"/>
      <c r="C40" s="2" t="s">
        <v>176</v>
      </c>
      <c r="D40" s="2" t="s">
        <v>177</v>
      </c>
      <c r="E40" s="2" t="s">
        <v>45</v>
      </c>
      <c r="F40" s="2" t="s">
        <v>428</v>
      </c>
      <c r="G40" s="21">
        <v>0.9</v>
      </c>
      <c r="H40" s="22" t="s">
        <v>408</v>
      </c>
    </row>
    <row r="41" spans="1:8" ht="12.75">
      <c r="A41" s="2" t="s">
        <v>157</v>
      </c>
      <c r="B41" s="2"/>
      <c r="C41" s="2" t="s">
        <v>179</v>
      </c>
      <c r="D41" s="2" t="s">
        <v>180</v>
      </c>
      <c r="E41" s="2" t="s">
        <v>62</v>
      </c>
      <c r="F41" s="2" t="s">
        <v>429</v>
      </c>
      <c r="G41" s="21">
        <v>1.4</v>
      </c>
      <c r="H41" s="22" t="s">
        <v>408</v>
      </c>
    </row>
    <row r="42" spans="1:8" ht="12.75">
      <c r="A42" s="2" t="s">
        <v>160</v>
      </c>
      <c r="B42" s="2"/>
      <c r="C42" s="2" t="s">
        <v>182</v>
      </c>
      <c r="D42" s="2" t="s">
        <v>183</v>
      </c>
      <c r="E42" s="2" t="s">
        <v>84</v>
      </c>
      <c r="F42" s="2"/>
      <c r="G42" s="21">
        <v>8</v>
      </c>
      <c r="H42" s="22" t="s">
        <v>408</v>
      </c>
    </row>
    <row r="43" spans="1:8" ht="12.75">
      <c r="A43" s="2" t="s">
        <v>163</v>
      </c>
      <c r="B43" s="2"/>
      <c r="C43" s="2" t="s">
        <v>186</v>
      </c>
      <c r="D43" s="2" t="s">
        <v>187</v>
      </c>
      <c r="E43" s="2" t="s">
        <v>84</v>
      </c>
      <c r="F43" s="2" t="s">
        <v>430</v>
      </c>
      <c r="G43" s="21">
        <v>6.42</v>
      </c>
      <c r="H43" s="22" t="s">
        <v>408</v>
      </c>
    </row>
    <row r="44" spans="1:8" ht="12.75">
      <c r="A44" s="2" t="s">
        <v>167</v>
      </c>
      <c r="B44" s="2"/>
      <c r="C44" s="2" t="s">
        <v>191</v>
      </c>
      <c r="D44" s="2" t="s">
        <v>192</v>
      </c>
      <c r="E44" s="2" t="s">
        <v>62</v>
      </c>
      <c r="F44" s="2" t="s">
        <v>431</v>
      </c>
      <c r="G44" s="21">
        <v>43</v>
      </c>
      <c r="H44" s="22" t="s">
        <v>408</v>
      </c>
    </row>
    <row r="45" spans="1:8" ht="12.75">
      <c r="A45" s="2" t="s">
        <v>175</v>
      </c>
      <c r="B45" s="2"/>
      <c r="C45" s="2" t="s">
        <v>195</v>
      </c>
      <c r="D45" s="2" t="s">
        <v>196</v>
      </c>
      <c r="E45" s="2" t="s">
        <v>59</v>
      </c>
      <c r="F45" s="2" t="s">
        <v>432</v>
      </c>
      <c r="G45" s="21">
        <v>387</v>
      </c>
      <c r="H45" s="22" t="s">
        <v>408</v>
      </c>
    </row>
    <row r="46" spans="1:8" ht="12.75">
      <c r="A46" s="2" t="s">
        <v>178</v>
      </c>
      <c r="B46" s="2"/>
      <c r="C46" s="2" t="s">
        <v>198</v>
      </c>
      <c r="D46" s="2" t="s">
        <v>199</v>
      </c>
      <c r="E46" s="2" t="s">
        <v>62</v>
      </c>
      <c r="F46" s="2" t="s">
        <v>433</v>
      </c>
      <c r="G46" s="21">
        <v>47</v>
      </c>
      <c r="H46" s="22" t="s">
        <v>408</v>
      </c>
    </row>
    <row r="47" spans="1:8" ht="12.75">
      <c r="A47" s="2" t="s">
        <v>181</v>
      </c>
      <c r="B47" s="2"/>
      <c r="C47" s="2" t="s">
        <v>201</v>
      </c>
      <c r="D47" s="2" t="s">
        <v>202</v>
      </c>
      <c r="E47" s="2" t="s">
        <v>62</v>
      </c>
      <c r="F47" s="2" t="s">
        <v>434</v>
      </c>
      <c r="G47" s="21">
        <v>46</v>
      </c>
      <c r="H47" s="22" t="s">
        <v>408</v>
      </c>
    </row>
    <row r="48" spans="1:8" ht="12.75">
      <c r="A48" s="2" t="s">
        <v>185</v>
      </c>
      <c r="B48" s="2"/>
      <c r="C48" s="2" t="s">
        <v>204</v>
      </c>
      <c r="D48" s="2" t="s">
        <v>205</v>
      </c>
      <c r="E48" s="2" t="s">
        <v>62</v>
      </c>
      <c r="F48" s="2" t="s">
        <v>435</v>
      </c>
      <c r="G48" s="21">
        <v>86</v>
      </c>
      <c r="H48" s="22" t="s">
        <v>408</v>
      </c>
    </row>
    <row r="49" spans="1:8" ht="12.75">
      <c r="A49" s="2" t="s">
        <v>190</v>
      </c>
      <c r="B49" s="2"/>
      <c r="C49" s="2" t="s">
        <v>207</v>
      </c>
      <c r="D49" s="2" t="s">
        <v>208</v>
      </c>
      <c r="E49" s="2" t="s">
        <v>59</v>
      </c>
      <c r="F49" s="2"/>
      <c r="G49" s="21">
        <v>172</v>
      </c>
      <c r="H49" s="22" t="s">
        <v>408</v>
      </c>
    </row>
    <row r="50" spans="1:8" ht="12.75">
      <c r="A50" s="2" t="s">
        <v>194</v>
      </c>
      <c r="B50" s="2"/>
      <c r="C50" s="2" t="s">
        <v>211</v>
      </c>
      <c r="D50" s="2" t="s">
        <v>212</v>
      </c>
      <c r="E50" s="2" t="s">
        <v>62</v>
      </c>
      <c r="F50" s="2" t="s">
        <v>436</v>
      </c>
      <c r="G50" s="21">
        <v>79.23</v>
      </c>
      <c r="H50" s="22" t="s">
        <v>408</v>
      </c>
    </row>
    <row r="51" spans="1:8" ht="12.75">
      <c r="A51" s="2" t="s">
        <v>197</v>
      </c>
      <c r="B51" s="2"/>
      <c r="C51" s="2" t="s">
        <v>216</v>
      </c>
      <c r="D51" s="2" t="s">
        <v>217</v>
      </c>
      <c r="E51" s="2" t="s">
        <v>62</v>
      </c>
      <c r="F51" s="2" t="s">
        <v>437</v>
      </c>
      <c r="G51" s="21">
        <v>19.81</v>
      </c>
      <c r="H51" s="22" t="s">
        <v>408</v>
      </c>
    </row>
    <row r="52" spans="1:8" ht="12.75">
      <c r="A52" s="2" t="s">
        <v>200</v>
      </c>
      <c r="B52" s="2"/>
      <c r="C52" s="2" t="s">
        <v>222</v>
      </c>
      <c r="D52" s="2" t="s">
        <v>223</v>
      </c>
      <c r="E52" s="2" t="s">
        <v>59</v>
      </c>
      <c r="F52" s="2" t="s">
        <v>438</v>
      </c>
      <c r="G52" s="21">
        <v>6</v>
      </c>
      <c r="H52" s="22" t="s">
        <v>408</v>
      </c>
    </row>
    <row r="53" spans="1:8" ht="12.75">
      <c r="A53" s="2" t="s">
        <v>203</v>
      </c>
      <c r="B53" s="2"/>
      <c r="C53" s="2" t="s">
        <v>225</v>
      </c>
      <c r="D53" s="2" t="s">
        <v>226</v>
      </c>
      <c r="E53" s="2" t="s">
        <v>59</v>
      </c>
      <c r="F53" s="2" t="s">
        <v>63</v>
      </c>
      <c r="G53" s="21">
        <v>6</v>
      </c>
      <c r="H53" s="22" t="s">
        <v>408</v>
      </c>
    </row>
    <row r="54" spans="1:8" ht="12.75">
      <c r="A54" s="2" t="s">
        <v>206</v>
      </c>
      <c r="B54" s="2"/>
      <c r="C54" s="2" t="s">
        <v>229</v>
      </c>
      <c r="D54" s="2" t="s">
        <v>230</v>
      </c>
      <c r="E54" s="2" t="s">
        <v>84</v>
      </c>
      <c r="F54" s="2" t="s">
        <v>439</v>
      </c>
      <c r="G54" s="21">
        <v>50.4</v>
      </c>
      <c r="H54" s="22" t="s">
        <v>408</v>
      </c>
    </row>
    <row r="55" spans="1:8" ht="12.75">
      <c r="A55" s="2" t="s">
        <v>210</v>
      </c>
      <c r="B55" s="2"/>
      <c r="C55" s="2" t="s">
        <v>232</v>
      </c>
      <c r="D55" s="2" t="s">
        <v>233</v>
      </c>
      <c r="E55" s="2" t="s">
        <v>45</v>
      </c>
      <c r="F55" s="2" t="s">
        <v>440</v>
      </c>
      <c r="G55" s="21">
        <v>5.46</v>
      </c>
      <c r="H55" s="22" t="s">
        <v>408</v>
      </c>
    </row>
    <row r="56" spans="1:8" ht="12.75">
      <c r="A56" s="2" t="s">
        <v>215</v>
      </c>
      <c r="B56" s="2"/>
      <c r="C56" s="2" t="s">
        <v>235</v>
      </c>
      <c r="D56" s="2" t="s">
        <v>236</v>
      </c>
      <c r="E56" s="2" t="s">
        <v>62</v>
      </c>
      <c r="F56" s="2" t="s">
        <v>441</v>
      </c>
      <c r="G56" s="21">
        <v>2.56</v>
      </c>
      <c r="H56" s="22" t="s">
        <v>408</v>
      </c>
    </row>
    <row r="57" spans="1:8" ht="12.75">
      <c r="A57" s="2" t="s">
        <v>218</v>
      </c>
      <c r="B57" s="2"/>
      <c r="C57" s="2" t="s">
        <v>238</v>
      </c>
      <c r="D57" s="2" t="s">
        <v>239</v>
      </c>
      <c r="E57" s="2" t="s">
        <v>62</v>
      </c>
      <c r="F57" s="2" t="s">
        <v>442</v>
      </c>
      <c r="G57" s="21">
        <v>8.67</v>
      </c>
      <c r="H57" s="22" t="s">
        <v>408</v>
      </c>
    </row>
    <row r="58" spans="1:8" ht="12.75">
      <c r="A58" s="2" t="s">
        <v>221</v>
      </c>
      <c r="B58" s="2"/>
      <c r="C58" s="2" t="s">
        <v>248</v>
      </c>
      <c r="D58" s="2" t="s">
        <v>249</v>
      </c>
      <c r="E58" s="2" t="s">
        <v>84</v>
      </c>
      <c r="F58" s="2" t="s">
        <v>443</v>
      </c>
      <c r="G58" s="21">
        <v>2.46</v>
      </c>
      <c r="H58" s="22" t="s">
        <v>408</v>
      </c>
    </row>
    <row r="59" spans="1:8" ht="12.75">
      <c r="A59" s="2" t="s">
        <v>224</v>
      </c>
      <c r="B59" s="2"/>
      <c r="C59" s="2" t="s">
        <v>252</v>
      </c>
      <c r="D59" s="2" t="s">
        <v>253</v>
      </c>
      <c r="E59" s="2" t="s">
        <v>62</v>
      </c>
      <c r="F59" s="2" t="s">
        <v>444</v>
      </c>
      <c r="G59" s="21">
        <v>6.15</v>
      </c>
      <c r="H59" s="22" t="s">
        <v>408</v>
      </c>
    </row>
    <row r="60" spans="1:8" ht="12.75">
      <c r="A60" s="2" t="s">
        <v>228</v>
      </c>
      <c r="B60" s="2"/>
      <c r="C60" s="2" t="s">
        <v>256</v>
      </c>
      <c r="D60" s="2" t="s">
        <v>257</v>
      </c>
      <c r="E60" s="2" t="s">
        <v>84</v>
      </c>
      <c r="F60" s="2" t="s">
        <v>445</v>
      </c>
      <c r="G60" s="21">
        <v>7.84</v>
      </c>
      <c r="H60" s="22" t="s">
        <v>408</v>
      </c>
    </row>
    <row r="61" spans="1:8" ht="12.75">
      <c r="A61" s="2" t="s">
        <v>231</v>
      </c>
      <c r="B61" s="2"/>
      <c r="C61" s="2" t="s">
        <v>261</v>
      </c>
      <c r="D61" s="2" t="s">
        <v>262</v>
      </c>
      <c r="E61" s="2" t="s">
        <v>62</v>
      </c>
      <c r="F61" s="2" t="s">
        <v>446</v>
      </c>
      <c r="G61" s="21">
        <v>39.96</v>
      </c>
      <c r="H61" s="22" t="s">
        <v>408</v>
      </c>
    </row>
    <row r="62" spans="1:8" ht="12.75">
      <c r="A62" s="2" t="s">
        <v>234</v>
      </c>
      <c r="B62" s="2"/>
      <c r="C62" s="2" t="s">
        <v>264</v>
      </c>
      <c r="D62" s="2" t="s">
        <v>265</v>
      </c>
      <c r="E62" s="2" t="s">
        <v>62</v>
      </c>
      <c r="F62" s="2" t="s">
        <v>447</v>
      </c>
      <c r="G62" s="21">
        <v>23.76</v>
      </c>
      <c r="H62" s="22" t="s">
        <v>408</v>
      </c>
    </row>
    <row r="63" spans="1:8" ht="12.75">
      <c r="A63" s="2" t="s">
        <v>237</v>
      </c>
      <c r="B63" s="2"/>
      <c r="C63" s="2" t="s">
        <v>267</v>
      </c>
      <c r="D63" s="2" t="s">
        <v>268</v>
      </c>
      <c r="E63" s="2" t="s">
        <v>62</v>
      </c>
      <c r="F63" s="2" t="s">
        <v>446</v>
      </c>
      <c r="G63" s="21">
        <v>39.96</v>
      </c>
      <c r="H63" s="22" t="s">
        <v>408</v>
      </c>
    </row>
    <row r="64" spans="1:8" ht="12.75">
      <c r="A64" s="2" t="s">
        <v>240</v>
      </c>
      <c r="B64" s="2"/>
      <c r="C64" s="2" t="s">
        <v>270</v>
      </c>
      <c r="D64" s="2" t="s">
        <v>271</v>
      </c>
      <c r="E64" s="2" t="s">
        <v>62</v>
      </c>
      <c r="F64" s="2" t="s">
        <v>448</v>
      </c>
      <c r="G64" s="21">
        <v>32.4</v>
      </c>
      <c r="H64" s="22" t="s">
        <v>408</v>
      </c>
    </row>
    <row r="65" spans="1:8" ht="12.75">
      <c r="A65" s="2" t="s">
        <v>243</v>
      </c>
      <c r="B65" s="2"/>
      <c r="C65" s="2" t="s">
        <v>274</v>
      </c>
      <c r="D65" s="2" t="s">
        <v>275</v>
      </c>
      <c r="E65" s="2" t="s">
        <v>62</v>
      </c>
      <c r="F65" s="2" t="s">
        <v>449</v>
      </c>
      <c r="G65" s="21">
        <v>107.03</v>
      </c>
      <c r="H65" s="22" t="s">
        <v>408</v>
      </c>
    </row>
    <row r="66" spans="1:8" ht="12.75">
      <c r="A66" s="2" t="s">
        <v>247</v>
      </c>
      <c r="B66" s="2"/>
      <c r="C66" s="2" t="s">
        <v>278</v>
      </c>
      <c r="D66" s="2" t="s">
        <v>279</v>
      </c>
      <c r="E66" s="2" t="s">
        <v>62</v>
      </c>
      <c r="F66" s="2" t="s">
        <v>450</v>
      </c>
      <c r="G66" s="21">
        <v>107.03</v>
      </c>
      <c r="H66" s="22" t="s">
        <v>408</v>
      </c>
    </row>
    <row r="67" spans="1:8" ht="12.75">
      <c r="A67" s="2" t="s">
        <v>251</v>
      </c>
      <c r="B67" s="2"/>
      <c r="C67" s="2" t="s">
        <v>281</v>
      </c>
      <c r="D67" s="2" t="s">
        <v>282</v>
      </c>
      <c r="E67" s="2" t="s">
        <v>62</v>
      </c>
      <c r="F67" s="2" t="s">
        <v>449</v>
      </c>
      <c r="G67" s="21">
        <v>107.03</v>
      </c>
      <c r="H67" s="22" t="s">
        <v>408</v>
      </c>
    </row>
    <row r="68" spans="1:8" ht="12.75">
      <c r="A68" s="2" t="s">
        <v>255</v>
      </c>
      <c r="B68" s="2"/>
      <c r="C68" s="2" t="s">
        <v>284</v>
      </c>
      <c r="D68" s="2" t="s">
        <v>285</v>
      </c>
      <c r="E68" s="2" t="s">
        <v>62</v>
      </c>
      <c r="F68" s="2" t="s">
        <v>451</v>
      </c>
      <c r="G68" s="21">
        <v>67.07</v>
      </c>
      <c r="H68" s="22" t="s">
        <v>408</v>
      </c>
    </row>
    <row r="69" spans="1:8" ht="12.75">
      <c r="A69" s="2" t="s">
        <v>260</v>
      </c>
      <c r="B69" s="2"/>
      <c r="C69" s="2" t="s">
        <v>278</v>
      </c>
      <c r="D69" s="2" t="s">
        <v>279</v>
      </c>
      <c r="E69" s="2" t="s">
        <v>62</v>
      </c>
      <c r="F69" s="2" t="s">
        <v>448</v>
      </c>
      <c r="G69" s="21">
        <v>32.4</v>
      </c>
      <c r="H69" s="22" t="s">
        <v>408</v>
      </c>
    </row>
    <row r="70" spans="1:8" ht="12.75">
      <c r="A70" s="2" t="s">
        <v>263</v>
      </c>
      <c r="B70" s="2"/>
      <c r="C70" s="2" t="s">
        <v>289</v>
      </c>
      <c r="D70" s="2" t="s">
        <v>290</v>
      </c>
      <c r="E70" s="2" t="s">
        <v>62</v>
      </c>
      <c r="F70" s="2"/>
      <c r="G70" s="21">
        <v>3</v>
      </c>
      <c r="H70" s="22" t="s">
        <v>408</v>
      </c>
    </row>
    <row r="71" spans="1:8" ht="12.75">
      <c r="A71" s="2" t="s">
        <v>266</v>
      </c>
      <c r="B71" s="2"/>
      <c r="C71" s="2" t="s">
        <v>297</v>
      </c>
      <c r="D71" s="2" t="s">
        <v>298</v>
      </c>
      <c r="E71" s="2" t="s">
        <v>62</v>
      </c>
      <c r="F71" s="2" t="s">
        <v>452</v>
      </c>
      <c r="G71" s="21">
        <v>90.07</v>
      </c>
      <c r="H71" s="22" t="s">
        <v>408</v>
      </c>
    </row>
    <row r="72" spans="1:8" ht="12.75">
      <c r="A72" s="2" t="s">
        <v>269</v>
      </c>
      <c r="B72" s="2"/>
      <c r="C72" s="2" t="s">
        <v>302</v>
      </c>
      <c r="D72" s="2" t="s">
        <v>303</v>
      </c>
      <c r="E72" s="2" t="s">
        <v>59</v>
      </c>
      <c r="F72" s="2" t="s">
        <v>50</v>
      </c>
      <c r="G72" s="21">
        <v>2</v>
      </c>
      <c r="H72" s="22" t="s">
        <v>408</v>
      </c>
    </row>
    <row r="73" spans="1:8" ht="12.75">
      <c r="A73" s="2" t="s">
        <v>273</v>
      </c>
      <c r="B73" s="2"/>
      <c r="C73" s="2" t="s">
        <v>308</v>
      </c>
      <c r="D73" s="2" t="s">
        <v>309</v>
      </c>
      <c r="E73" s="2" t="s">
        <v>62</v>
      </c>
      <c r="F73" s="2" t="s">
        <v>453</v>
      </c>
      <c r="G73" s="21">
        <v>45.72</v>
      </c>
      <c r="H73" s="22" t="s">
        <v>408</v>
      </c>
    </row>
    <row r="74" spans="1:8" ht="12.75">
      <c r="A74" s="2" t="s">
        <v>277</v>
      </c>
      <c r="B74" s="2"/>
      <c r="C74" s="2" t="s">
        <v>311</v>
      </c>
      <c r="D74" s="2" t="s">
        <v>312</v>
      </c>
      <c r="E74" s="2" t="s">
        <v>62</v>
      </c>
      <c r="F74" s="2" t="s">
        <v>454</v>
      </c>
      <c r="G74" s="21">
        <v>45.6</v>
      </c>
      <c r="H74" s="22" t="s">
        <v>408</v>
      </c>
    </row>
    <row r="75" spans="1:8" ht="12.75">
      <c r="A75" s="2" t="s">
        <v>280</v>
      </c>
      <c r="B75" s="2"/>
      <c r="C75" s="2" t="s">
        <v>316</v>
      </c>
      <c r="D75" s="2" t="s">
        <v>317</v>
      </c>
      <c r="E75" s="2" t="s">
        <v>318</v>
      </c>
      <c r="F75" s="2" t="s">
        <v>455</v>
      </c>
      <c r="G75" s="21">
        <v>1200</v>
      </c>
      <c r="H75" s="22" t="s">
        <v>408</v>
      </c>
    </row>
    <row r="76" spans="1:8" ht="12.75">
      <c r="A76" s="2" t="s">
        <v>286</v>
      </c>
      <c r="B76" s="2"/>
      <c r="C76" s="2" t="s">
        <v>324</v>
      </c>
      <c r="D76" s="2" t="s">
        <v>325</v>
      </c>
      <c r="E76" s="2" t="s">
        <v>59</v>
      </c>
      <c r="F76" s="2" t="s">
        <v>50</v>
      </c>
      <c r="G76" s="21">
        <v>2</v>
      </c>
      <c r="H76" s="22" t="s">
        <v>408</v>
      </c>
    </row>
    <row r="77" spans="1:8" ht="12.75">
      <c r="A77" s="2" t="s">
        <v>288</v>
      </c>
      <c r="B77" s="2"/>
      <c r="C77" s="2" t="s">
        <v>329</v>
      </c>
      <c r="D77" s="2" t="s">
        <v>330</v>
      </c>
      <c r="E77" s="2" t="s">
        <v>78</v>
      </c>
      <c r="F77" s="2" t="s">
        <v>456</v>
      </c>
      <c r="G77" s="21">
        <v>15</v>
      </c>
      <c r="H77" s="22" t="s">
        <v>408</v>
      </c>
    </row>
    <row r="78" spans="1:8" ht="12.75">
      <c r="A78" s="2" t="s">
        <v>296</v>
      </c>
      <c r="B78" s="2"/>
      <c r="C78" s="2" t="s">
        <v>339</v>
      </c>
      <c r="D78" s="2" t="s">
        <v>340</v>
      </c>
      <c r="E78" s="2" t="s">
        <v>59</v>
      </c>
      <c r="F78" s="2" t="s">
        <v>172</v>
      </c>
      <c r="G78" s="21">
        <v>38</v>
      </c>
      <c r="H78" s="22" t="s">
        <v>408</v>
      </c>
    </row>
    <row r="79" spans="1:8" ht="12.75">
      <c r="A79" s="2" t="s">
        <v>301</v>
      </c>
      <c r="B79" s="2"/>
      <c r="C79" s="2" t="s">
        <v>342</v>
      </c>
      <c r="D79" s="2" t="s">
        <v>343</v>
      </c>
      <c r="E79" s="2" t="s">
        <v>59</v>
      </c>
      <c r="F79" s="2"/>
      <c r="G79" s="21">
        <v>4</v>
      </c>
      <c r="H79" s="22" t="s">
        <v>408</v>
      </c>
    </row>
    <row r="80" spans="1:8" ht="12.75">
      <c r="A80" s="2" t="s">
        <v>304</v>
      </c>
      <c r="B80" s="2"/>
      <c r="C80" s="2" t="s">
        <v>350</v>
      </c>
      <c r="D80" s="2" t="s">
        <v>351</v>
      </c>
      <c r="E80" s="2" t="s">
        <v>45</v>
      </c>
      <c r="F80" s="2" t="s">
        <v>457</v>
      </c>
      <c r="G80" s="21">
        <v>14.4</v>
      </c>
      <c r="H80" s="22" t="s">
        <v>408</v>
      </c>
    </row>
    <row r="81" spans="1:8" ht="12.75">
      <c r="A81" s="2" t="s">
        <v>307</v>
      </c>
      <c r="B81" s="2"/>
      <c r="C81" s="2" t="s">
        <v>354</v>
      </c>
      <c r="D81" s="2" t="s">
        <v>355</v>
      </c>
      <c r="E81" s="2" t="s">
        <v>45</v>
      </c>
      <c r="F81" s="2" t="s">
        <v>458</v>
      </c>
      <c r="G81" s="21">
        <v>14.4</v>
      </c>
      <c r="H81" s="22" t="s">
        <v>408</v>
      </c>
    </row>
    <row r="82" spans="1:8" ht="12.75">
      <c r="A82" s="2" t="s">
        <v>310</v>
      </c>
      <c r="B82" s="2"/>
      <c r="C82" s="2" t="s">
        <v>356</v>
      </c>
      <c r="D82" s="2" t="s">
        <v>357</v>
      </c>
      <c r="E82" s="2" t="s">
        <v>45</v>
      </c>
      <c r="F82" s="2" t="s">
        <v>459</v>
      </c>
      <c r="G82" s="21">
        <v>3</v>
      </c>
      <c r="H82" s="22" t="s">
        <v>408</v>
      </c>
    </row>
    <row r="83" spans="1:8" ht="12.75">
      <c r="A83" s="2" t="s">
        <v>315</v>
      </c>
      <c r="B83" s="2"/>
      <c r="C83" s="2" t="s">
        <v>364</v>
      </c>
      <c r="D83" s="2" t="s">
        <v>365</v>
      </c>
      <c r="E83" s="2" t="s">
        <v>84</v>
      </c>
      <c r="F83" s="2" t="s">
        <v>460</v>
      </c>
      <c r="G83" s="21">
        <v>4.65</v>
      </c>
      <c r="H83" s="22" t="s">
        <v>408</v>
      </c>
    </row>
    <row r="84" spans="1:8" ht="12.75">
      <c r="A84" s="2" t="s">
        <v>323</v>
      </c>
      <c r="B84" s="2"/>
      <c r="C84" s="2" t="s">
        <v>364</v>
      </c>
      <c r="D84" s="2" t="s">
        <v>365</v>
      </c>
      <c r="E84" s="2" t="s">
        <v>84</v>
      </c>
      <c r="F84" s="2" t="s">
        <v>461</v>
      </c>
      <c r="G84" s="21">
        <v>6.76</v>
      </c>
      <c r="H84" s="22" t="s">
        <v>408</v>
      </c>
    </row>
    <row r="85" spans="1:8" ht="12.75">
      <c r="A85" s="2" t="s">
        <v>333</v>
      </c>
      <c r="B85" s="2"/>
      <c r="C85" s="2" t="s">
        <v>370</v>
      </c>
      <c r="D85" s="2" t="s">
        <v>371</v>
      </c>
      <c r="E85" s="2" t="s">
        <v>84</v>
      </c>
      <c r="F85" s="2" t="s">
        <v>462</v>
      </c>
      <c r="G85" s="21">
        <v>2.85</v>
      </c>
      <c r="H85" s="22" t="s">
        <v>408</v>
      </c>
    </row>
    <row r="86" spans="1:8" ht="12.75">
      <c r="A86" s="2" t="s">
        <v>338</v>
      </c>
      <c r="B86" s="2"/>
      <c r="C86" s="2" t="s">
        <v>372</v>
      </c>
      <c r="D86" s="2" t="s">
        <v>373</v>
      </c>
      <c r="E86" s="2" t="s">
        <v>59</v>
      </c>
      <c r="F86" s="2" t="s">
        <v>42</v>
      </c>
      <c r="G86" s="21">
        <v>1</v>
      </c>
      <c r="H86" s="22" t="s">
        <v>408</v>
      </c>
    </row>
    <row r="87" spans="1:8" ht="12.75">
      <c r="A87" s="2" t="s">
        <v>341</v>
      </c>
      <c r="B87" s="2"/>
      <c r="C87" s="2" t="s">
        <v>364</v>
      </c>
      <c r="D87" s="2" t="s">
        <v>365</v>
      </c>
      <c r="E87" s="2" t="s">
        <v>84</v>
      </c>
      <c r="F87" s="2" t="s">
        <v>463</v>
      </c>
      <c r="G87" s="21">
        <v>1.3</v>
      </c>
      <c r="H87" s="22" t="s">
        <v>408</v>
      </c>
    </row>
    <row r="88" spans="1:8" ht="12.75">
      <c r="A88" s="2" t="s">
        <v>344</v>
      </c>
      <c r="B88" s="2"/>
      <c r="C88" s="2" t="s">
        <v>364</v>
      </c>
      <c r="D88" s="2" t="s">
        <v>365</v>
      </c>
      <c r="E88" s="2" t="s">
        <v>84</v>
      </c>
      <c r="F88" s="2" t="s">
        <v>464</v>
      </c>
      <c r="G88" s="21">
        <v>0.09</v>
      </c>
      <c r="H88" s="22" t="s">
        <v>408</v>
      </c>
    </row>
    <row r="89" spans="1:8" ht="12.75">
      <c r="A89" s="2" t="s">
        <v>349</v>
      </c>
      <c r="B89" s="2"/>
      <c r="C89" s="2" t="s">
        <v>378</v>
      </c>
      <c r="D89" s="2" t="s">
        <v>379</v>
      </c>
      <c r="E89" s="2" t="s">
        <v>59</v>
      </c>
      <c r="F89" s="2" t="s">
        <v>56</v>
      </c>
      <c r="G89" s="21">
        <v>4</v>
      </c>
      <c r="H89" s="22" t="s">
        <v>408</v>
      </c>
    </row>
    <row r="90" spans="1:8" ht="12.75">
      <c r="A90" s="2" t="s">
        <v>321</v>
      </c>
      <c r="B90" s="2"/>
      <c r="C90" s="2" t="s">
        <v>381</v>
      </c>
      <c r="D90" s="2" t="s">
        <v>382</v>
      </c>
      <c r="E90" s="2" t="s">
        <v>45</v>
      </c>
      <c r="F90" s="2"/>
      <c r="G90" s="21">
        <v>50.57</v>
      </c>
      <c r="H90" s="22" t="s">
        <v>408</v>
      </c>
    </row>
    <row r="91" spans="1:8" ht="12.75">
      <c r="A91" s="2" t="s">
        <v>358</v>
      </c>
      <c r="B91" s="2"/>
      <c r="C91" s="2" t="s">
        <v>95</v>
      </c>
      <c r="D91" s="2" t="s">
        <v>96</v>
      </c>
      <c r="E91" s="2" t="s">
        <v>45</v>
      </c>
      <c r="F91" s="2"/>
      <c r="G91" s="21">
        <v>50.57</v>
      </c>
      <c r="H91" s="22" t="s">
        <v>408</v>
      </c>
    </row>
    <row r="92" spans="1:8" ht="12.75">
      <c r="A92" s="2" t="s">
        <v>363</v>
      </c>
      <c r="B92" s="2"/>
      <c r="C92" s="2" t="s">
        <v>386</v>
      </c>
      <c r="D92" s="2" t="s">
        <v>387</v>
      </c>
      <c r="E92" s="2" t="s">
        <v>45</v>
      </c>
      <c r="F92" s="2"/>
      <c r="G92" s="21">
        <v>53.30117</v>
      </c>
      <c r="H92" s="22" t="s">
        <v>408</v>
      </c>
    </row>
    <row r="93" spans="1:8" ht="12.75">
      <c r="A93" s="2" t="s">
        <v>367</v>
      </c>
      <c r="B93" s="2"/>
      <c r="C93" s="2" t="s">
        <v>390</v>
      </c>
      <c r="D93" s="2" t="s">
        <v>391</v>
      </c>
      <c r="E93" s="2" t="s">
        <v>84</v>
      </c>
      <c r="F93" s="2" t="s">
        <v>465</v>
      </c>
      <c r="G93" s="21">
        <v>33.5</v>
      </c>
      <c r="H93" s="22" t="s">
        <v>408</v>
      </c>
    </row>
    <row r="94" spans="1:8" ht="12.75">
      <c r="A94" s="2" t="s">
        <v>368</v>
      </c>
      <c r="B94" s="2"/>
      <c r="C94" s="2" t="s">
        <v>398</v>
      </c>
      <c r="D94" s="2" t="s">
        <v>399</v>
      </c>
      <c r="E94" s="2" t="s">
        <v>45</v>
      </c>
      <c r="F94" s="2"/>
      <c r="G94" s="21">
        <v>80.77889</v>
      </c>
      <c r="H94" s="22" t="s">
        <v>408</v>
      </c>
    </row>
    <row r="95" spans="1:8" ht="12.75">
      <c r="A95" s="2" t="s">
        <v>369</v>
      </c>
      <c r="B95" s="2"/>
      <c r="C95" s="2" t="s">
        <v>401</v>
      </c>
      <c r="D95" s="2" t="s">
        <v>402</v>
      </c>
      <c r="E95" s="2" t="s">
        <v>45</v>
      </c>
      <c r="F95" s="2"/>
      <c r="G95" s="21">
        <v>80.78</v>
      </c>
      <c r="H95" s="22" t="s">
        <v>408</v>
      </c>
    </row>
    <row r="96" spans="1:8" ht="12.75">
      <c r="A96" s="2" t="s">
        <v>331</v>
      </c>
      <c r="B96" s="2"/>
      <c r="C96" s="2" t="s">
        <v>98</v>
      </c>
      <c r="D96" s="2" t="s">
        <v>99</v>
      </c>
      <c r="E96" s="2" t="s">
        <v>45</v>
      </c>
      <c r="F96" s="2" t="s">
        <v>466</v>
      </c>
      <c r="G96" s="21">
        <v>484.67</v>
      </c>
      <c r="H96" s="22" t="s">
        <v>408</v>
      </c>
    </row>
  </sheetData>
  <sheetProtection selectLockedCells="1" selectUnlockedCells="1"/>
  <mergeCells count="17">
    <mergeCell ref="A8:B9"/>
    <mergeCell ref="C8:D9"/>
    <mergeCell ref="E8:E9"/>
    <mergeCell ref="F8:H9"/>
    <mergeCell ref="A4:B5"/>
    <mergeCell ref="C4:D5"/>
    <mergeCell ref="E4:E5"/>
    <mergeCell ref="F4:H5"/>
    <mergeCell ref="A6:B7"/>
    <mergeCell ref="C6:D7"/>
    <mergeCell ref="E6:E7"/>
    <mergeCell ref="F6:H7"/>
    <mergeCell ref="A1:H1"/>
    <mergeCell ref="A2:B3"/>
    <mergeCell ref="C2:D3"/>
    <mergeCell ref="E2:E3"/>
    <mergeCell ref="F2:H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Klecka Vaclav</dc:creator>
  <cp:keywords/>
  <dc:description/>
  <cp:lastModifiedBy>Klecka Vaclav</cp:lastModifiedBy>
  <dcterms:created xsi:type="dcterms:W3CDTF">2016-09-15T09:08:12Z</dcterms:created>
  <dcterms:modified xsi:type="dcterms:W3CDTF">2016-09-20T07:11:29Z</dcterms:modified>
  <cp:category/>
  <cp:version/>
  <cp:contentType/>
  <cp:contentStatus/>
</cp:coreProperties>
</file>